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0" documentId="8_{600B39CD-EE33-4644-8A51-24348F56220A}" xr6:coauthVersionLast="47" xr6:coauthVersionMax="47" xr10:uidLastSave="{00000000-0000-0000-0000-000000000000}"/>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717" i="22" l="1"/>
  <c r="Z3" i="19"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E1893" i="22"/>
  <c r="E1891" i="22"/>
  <c r="E1889" i="22"/>
  <c r="E1887" i="22"/>
  <c r="E1885" i="22"/>
  <c r="E1884" i="22"/>
  <c r="E1883" i="22"/>
  <c r="E1882" i="22"/>
  <c r="E1888" i="22" l="1"/>
  <c r="E1892" i="22"/>
  <c r="D1896" i="22"/>
  <c r="E1896" i="22" s="1"/>
  <c r="D1900" i="22"/>
  <c r="E1900" i="22" s="1"/>
  <c r="D1904" i="22"/>
  <c r="E1904" i="22" s="1"/>
  <c r="D1908" i="22"/>
  <c r="E1908" i="22" s="1"/>
  <c r="D1912" i="22"/>
  <c r="E1912" i="22" s="1"/>
  <c r="E1886" i="22"/>
  <c r="E1890" i="22"/>
  <c r="E1894" i="22"/>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CG20" i="9" a="1"/>
  <c r="K1882" i="22"/>
  <c r="CG20" i="9" l="1"/>
  <c r="DC3" i="19" s="1"/>
  <c r="D304" i="15"/>
  <c r="D1253" i="22"/>
  <c r="D157" i="14"/>
  <c r="D238" i="5"/>
  <c r="D224" i="5"/>
  <c r="D1165" i="21"/>
  <c r="D228" i="5"/>
  <c r="D139" i="21"/>
  <c r="D34" i="13"/>
  <c r="D198" i="18"/>
  <c r="D308" i="15"/>
  <c r="D1249" i="22"/>
  <c r="D51" i="13"/>
  <c r="D82" i="13"/>
  <c r="D90" i="13"/>
  <c r="D668" i="21"/>
  <c r="D672" i="21"/>
  <c r="D723" i="21"/>
  <c r="D424" i="22"/>
  <c r="D1336" i="22"/>
  <c r="D1332" i="22"/>
  <c r="D1873" i="22"/>
  <c r="D927" i="22"/>
  <c r="D911" i="22"/>
  <c r="D907" i="22"/>
  <c r="D152" i="15"/>
  <c r="D1486" i="21"/>
  <c r="T13" i="19"/>
  <c r="V13" i="19" s="1"/>
  <c r="CG34" i="9" a="1"/>
  <c r="CG34" i="9" s="1"/>
  <c r="DC17" i="19" s="1"/>
  <c r="T17" i="19"/>
  <c r="V17" i="19" s="1"/>
  <c r="CG54" i="9" a="1"/>
  <c r="CG54" i="9" s="1"/>
  <c r="DC37" i="19" s="1"/>
  <c r="T37" i="19"/>
  <c r="V37" i="19" s="1"/>
  <c r="T6" i="19"/>
  <c r="V6" i="19" s="1"/>
  <c r="T10" i="19"/>
  <c r="V10"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76" i="18"/>
  <c r="D127" i="18"/>
  <c r="T5" i="19"/>
  <c r="V5" i="19" s="1"/>
  <c r="T9" i="19"/>
  <c r="V9" i="19" s="1"/>
  <c r="CG42" i="9" a="1"/>
  <c r="CG42" i="9" s="1"/>
  <c r="DC25" i="19" s="1"/>
  <c r="T25" i="19"/>
  <c r="V25" i="19" s="1"/>
  <c r="T7" i="19"/>
  <c r="V7" i="19" s="1"/>
  <c r="T11" i="19"/>
  <c r="V11"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09" i="22"/>
  <c r="D993" i="22"/>
  <c r="D1363" i="22"/>
  <c r="D1411" i="22"/>
  <c r="D1454" i="22"/>
  <c r="D1446" i="22"/>
  <c r="D1784"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91" i="15"/>
  <c r="D147" i="15"/>
  <c r="D155" i="15"/>
  <c r="D163" i="15"/>
  <c r="D186" i="15"/>
  <c r="D190" i="15"/>
  <c r="D201" i="14"/>
  <c r="D193" i="14"/>
  <c r="D185" i="14"/>
  <c r="D543" i="14"/>
  <c r="D50" i="15"/>
  <c r="D150" i="15"/>
  <c r="D162" i="15"/>
  <c r="D185" i="15"/>
  <c r="D35" i="13"/>
  <c r="D75" i="13"/>
  <c r="D381" i="22"/>
  <c r="D767" i="22"/>
  <c r="D553" i="21"/>
  <c r="D557" i="21"/>
  <c r="D1552" i="21"/>
  <c r="D1567" i="21"/>
  <c r="D1695" i="21"/>
  <c r="D1707" i="21"/>
  <c r="D1720" i="21"/>
  <c r="D124" i="5"/>
  <c r="D162" i="5"/>
  <c r="D166" i="5"/>
  <c r="D48" i="18"/>
  <c r="D123" i="18"/>
  <c r="D197" i="18"/>
  <c r="D201" i="18"/>
  <c r="D262" i="15"/>
  <c r="D267" i="15"/>
  <c r="D394" i="22"/>
  <c r="D390" i="22"/>
  <c r="D386" i="22"/>
  <c r="D382" i="22"/>
  <c r="D527"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12" i="5"/>
  <c r="D147" i="5"/>
  <c r="D151" i="5"/>
  <c r="D302" i="15"/>
  <c r="D306" i="15"/>
  <c r="D952" i="22"/>
  <c r="D948" i="22"/>
  <c r="D1108" i="22"/>
  <c r="D1191" i="22"/>
  <c r="D1175"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470" i="22"/>
  <c r="D458" i="22"/>
  <c r="D732" i="22"/>
  <c r="D1587" i="21"/>
  <c r="D279" i="15"/>
  <c r="D82" i="22"/>
  <c r="D389" i="22"/>
  <c r="D432" i="22"/>
  <c r="D416" i="22"/>
  <c r="D565" i="22"/>
  <c r="D648" i="22"/>
  <c r="D813" i="22"/>
  <c r="D959" i="22"/>
  <c r="D999" i="22"/>
  <c r="D1032" i="22"/>
  <c r="D1269" i="22"/>
  <c r="D1265" i="22"/>
  <c r="D1287" i="22"/>
  <c r="D1492" i="22"/>
  <c r="D1632" i="22"/>
  <c r="D1683" i="22"/>
  <c r="D1675" i="22"/>
  <c r="D176" i="21"/>
  <c r="D234" i="21"/>
  <c r="D260" i="21"/>
  <c r="D311" i="21"/>
  <c r="D351" i="21"/>
  <c r="D375" i="21"/>
  <c r="D425" i="21"/>
  <c r="D445" i="21"/>
  <c r="D453" i="21"/>
  <c r="D461" i="21"/>
  <c r="D465" i="21"/>
  <c r="D307"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7" i="5"/>
  <c r="D243" i="5"/>
  <c r="D124" i="18"/>
  <c r="D128" i="18"/>
  <c r="D962"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80" i="21"/>
  <c r="D1725" i="21"/>
  <c r="D39" i="5"/>
  <c r="D44" i="5"/>
  <c r="D85" i="5"/>
  <c r="D120" i="5"/>
  <c r="D456" i="14"/>
  <c r="D71" i="15"/>
  <c r="D83" i="13"/>
  <c r="D91" i="13"/>
  <c r="D110" i="13"/>
  <c r="D121" i="13"/>
  <c r="D125" i="13"/>
  <c r="D167" i="14"/>
  <c r="D149" i="14"/>
  <c r="D231" i="14"/>
  <c r="D383" i="14"/>
  <c r="D379" i="14"/>
  <c r="D509" i="14"/>
  <c r="D498" i="14"/>
  <c r="D493" i="14"/>
  <c r="D568" i="14"/>
  <c r="D687" i="14"/>
  <c r="D682" i="14"/>
  <c r="D680" i="14"/>
  <c r="D196" i="15"/>
  <c r="D348" i="15"/>
  <c r="D352" i="15"/>
  <c r="D46" i="22"/>
  <c r="D40" i="22"/>
  <c r="D90" i="22"/>
  <c r="D467" i="22"/>
  <c r="D42" i="13"/>
  <c r="D47" i="13"/>
  <c r="D50" i="13"/>
  <c r="D159" i="14"/>
  <c r="D394" i="14"/>
  <c r="D432" i="14"/>
  <c r="D428" i="14"/>
  <c r="D424" i="14"/>
  <c r="D420" i="14"/>
  <c r="D416" i="14"/>
  <c r="D505" i="14"/>
  <c r="D489" i="14"/>
  <c r="D535" i="14"/>
  <c r="D584" i="14"/>
  <c r="D579" i="14"/>
  <c r="D736" i="14"/>
  <c r="D89" i="15"/>
  <c r="D109" i="15"/>
  <c r="D110" i="15"/>
  <c r="D111" i="15"/>
  <c r="D124" i="15"/>
  <c r="D125" i="15"/>
  <c r="D126" i="15"/>
  <c r="D127" i="15"/>
  <c r="D154" i="15"/>
  <c r="D159" i="15"/>
  <c r="D160" i="15"/>
  <c r="D167" i="15"/>
  <c r="D189" i="15"/>
  <c r="D199" i="15"/>
  <c r="D230" i="15"/>
  <c r="D241" i="15"/>
  <c r="D242" i="15"/>
  <c r="D243" i="15"/>
  <c r="D266" i="15"/>
  <c r="D268" i="15"/>
  <c r="D271" i="15"/>
  <c r="D301" i="15"/>
  <c r="D350" i="15"/>
  <c r="D91" i="22"/>
  <c r="D83" i="22"/>
  <c r="D121" i="22"/>
  <c r="D155" i="22"/>
  <c r="D147" i="22"/>
  <c r="D239" i="22"/>
  <c r="D231" i="22"/>
  <c r="D223" i="22"/>
  <c r="D393" i="22"/>
  <c r="D385" i="22"/>
  <c r="D377" i="22"/>
  <c r="D428" i="22"/>
  <c r="D420" i="22"/>
  <c r="D456" i="22"/>
  <c r="D733" i="22"/>
  <c r="D725" i="22"/>
  <c r="D44" i="13"/>
  <c r="D52" i="13"/>
  <c r="D71" i="13"/>
  <c r="D79" i="13"/>
  <c r="D87" i="13"/>
  <c r="D114" i="13"/>
  <c r="D124" i="13"/>
  <c r="D127" i="13"/>
  <c r="D128" i="13"/>
  <c r="D129" i="13"/>
  <c r="D73" i="15"/>
  <c r="D88" i="15"/>
  <c r="D115" i="15"/>
  <c r="D120" i="15"/>
  <c r="D166" i="15"/>
  <c r="D193" i="15"/>
  <c r="D225" i="15"/>
  <c r="D226" i="15"/>
  <c r="D227" i="15"/>
  <c r="D228" i="15"/>
  <c r="D229" i="15"/>
  <c r="D240" i="15"/>
  <c r="D264" i="15"/>
  <c r="D314" i="15"/>
  <c r="D345" i="15"/>
  <c r="D349" i="15"/>
  <c r="D355" i="15"/>
  <c r="D471" i="22"/>
  <c r="D585" i="22"/>
  <c r="D581" i="22"/>
  <c r="D577" i="22"/>
  <c r="D573" i="22"/>
  <c r="D569" i="22"/>
  <c r="D656" i="22"/>
  <c r="D655" i="22"/>
  <c r="D647" i="22"/>
  <c r="D885" i="22"/>
  <c r="D876" i="22"/>
  <c r="D923" i="22"/>
  <c r="D919" i="22"/>
  <c r="D947" i="22"/>
  <c r="D994" i="22"/>
  <c r="D1142" i="22"/>
  <c r="D1188" i="22"/>
  <c r="D1307" i="22"/>
  <c r="D1640" i="22"/>
  <c r="D1636" i="22"/>
  <c r="D1750" i="22"/>
  <c r="D1797" i="22"/>
  <c r="D1292" i="22"/>
  <c r="D182" i="21"/>
  <c r="D766" i="22"/>
  <c r="D762" i="22"/>
  <c r="D758" i="22"/>
  <c r="D917" i="22"/>
  <c r="D913" i="22"/>
  <c r="D963" i="22"/>
  <c r="D1028" i="22"/>
  <c r="D1062" i="22"/>
  <c r="D1100" i="22"/>
  <c r="D1180" i="22"/>
  <c r="D1299" i="22"/>
  <c r="D1294" i="22"/>
  <c r="D1331"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11" i="21"/>
  <c r="D1015" i="21"/>
  <c r="D1019" i="21"/>
  <c r="D1023" i="21"/>
  <c r="D1027" i="21"/>
  <c r="D1031" i="21"/>
  <c r="D1035" i="21"/>
  <c r="D1039" i="21"/>
  <c r="D1054" i="21"/>
  <c r="D1055" i="21"/>
  <c r="D1130" i="21"/>
  <c r="D1135" i="21"/>
  <c r="D1168" i="21"/>
  <c r="D1172"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91" i="5"/>
  <c r="D192" i="5"/>
  <c r="D198" i="5"/>
  <c r="D202" i="5"/>
  <c r="D40" i="18"/>
  <c r="D51" i="18"/>
  <c r="D75" i="18"/>
  <c r="D86" i="18"/>
  <c r="D89" i="18"/>
  <c r="D110" i="18"/>
  <c r="D120" i="18"/>
  <c r="D147" i="18"/>
  <c r="D151" i="18"/>
  <c r="D155" i="18"/>
  <c r="D159" i="18"/>
  <c r="D163" i="18"/>
  <c r="D167"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52" i="5"/>
  <c r="D161" i="5"/>
  <c r="D35" i="18"/>
  <c r="D38"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82" i="5"/>
  <c r="D90" i="5"/>
  <c r="D115" i="5"/>
  <c r="D123" i="5"/>
  <c r="D226" i="5"/>
  <c r="D234" i="5"/>
  <c r="D242" i="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63" i="14"/>
  <c r="D153" i="14"/>
  <c r="D147" i="14"/>
  <c r="D240" i="14"/>
  <c r="D279" i="14"/>
  <c r="D271" i="14"/>
  <c r="D263" i="14"/>
  <c r="D393" i="14"/>
  <c r="D382" i="14"/>
  <c r="D431" i="14"/>
  <c r="D423" i="14"/>
  <c r="D415" i="14"/>
  <c r="D534" i="14"/>
  <c r="D533" i="14"/>
  <c r="D580" i="14"/>
  <c r="D575" i="14"/>
  <c r="D618" i="14"/>
  <c r="D610" i="14"/>
  <c r="D654" i="14"/>
  <c r="D646" i="14"/>
  <c r="D691" i="14"/>
  <c r="D683" i="14"/>
  <c r="D50" i="22"/>
  <c r="D42" i="22"/>
  <c r="D41" i="13"/>
  <c r="D45" i="13"/>
  <c r="D49" i="13"/>
  <c r="D53" i="13"/>
  <c r="D72" i="13"/>
  <c r="D76" i="13"/>
  <c r="D80" i="13"/>
  <c r="D84" i="13"/>
  <c r="D88" i="13"/>
  <c r="D111" i="13"/>
  <c r="D502" i="14"/>
  <c r="D494" i="14"/>
  <c r="D576" i="14"/>
  <c r="D571" i="14"/>
  <c r="D619" i="14"/>
  <c r="D611" i="14"/>
  <c r="D603" i="14"/>
  <c r="D733" i="14"/>
  <c r="D35" i="15"/>
  <c r="D37" i="15"/>
  <c r="D38" i="15"/>
  <c r="D42" i="15"/>
  <c r="D43" i="15"/>
  <c r="D82" i="15"/>
  <c r="D123" i="15"/>
  <c r="D153" i="15"/>
  <c r="D156" i="15"/>
  <c r="D157" i="15"/>
  <c r="D158" i="15"/>
  <c r="E172" i="15"/>
  <c r="D188" i="15"/>
  <c r="D192" i="15"/>
  <c r="D198" i="15"/>
  <c r="D201" i="15"/>
  <c r="D202" i="15"/>
  <c r="D223" i="15"/>
  <c r="D239" i="15"/>
  <c r="D270" i="15"/>
  <c r="D277" i="15"/>
  <c r="D278" i="15"/>
  <c r="D299" i="15"/>
  <c r="D300" i="15"/>
  <c r="D305" i="15"/>
  <c r="D311" i="15"/>
  <c r="D312" i="15"/>
  <c r="D313" i="15"/>
  <c r="D319" i="15"/>
  <c r="D343" i="15"/>
  <c r="D344" i="15"/>
  <c r="D73" i="13"/>
  <c r="D77" i="13"/>
  <c r="D81" i="13"/>
  <c r="D85" i="13"/>
  <c r="D89" i="13"/>
  <c r="D117" i="13"/>
  <c r="D53" i="14"/>
  <c r="D45" i="14"/>
  <c r="D37" i="14"/>
  <c r="D128" i="14"/>
  <c r="D120" i="14"/>
  <c r="D112" i="14"/>
  <c r="D161" i="14"/>
  <c r="D155" i="14"/>
  <c r="D200" i="14"/>
  <c r="D199" i="14"/>
  <c r="D192" i="14"/>
  <c r="D191" i="14"/>
  <c r="D236" i="14"/>
  <c r="D225" i="14"/>
  <c r="D388" i="14"/>
  <c r="D427" i="14"/>
  <c r="D419" i="14"/>
  <c r="D542" i="14"/>
  <c r="D541"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641" i="22"/>
  <c r="D734" i="22"/>
  <c r="D718" i="22"/>
  <c r="D761" i="22"/>
  <c r="D807" i="22"/>
  <c r="D356" i="15"/>
  <c r="D49" i="22"/>
  <c r="D75" i="22"/>
  <c r="D115" i="22"/>
  <c r="D162" i="22"/>
  <c r="D161" i="22"/>
  <c r="D154" i="22"/>
  <c r="D153" i="22"/>
  <c r="D203" i="22"/>
  <c r="D195" i="22"/>
  <c r="D187" i="22"/>
  <c r="D238" i="22"/>
  <c r="D230" i="22"/>
  <c r="D357" i="22"/>
  <c r="D349" i="22"/>
  <c r="D341" i="22"/>
  <c r="D459" i="22"/>
  <c r="D496" i="22"/>
  <c r="D528" i="22"/>
  <c r="D34" i="22"/>
  <c r="D88" i="22"/>
  <c r="D80" i="22"/>
  <c r="D126" i="22"/>
  <c r="D316" i="22"/>
  <c r="D308" i="22"/>
  <c r="D300" i="22"/>
  <c r="D460" i="22"/>
  <c r="D452" i="22"/>
  <c r="D726" i="22"/>
  <c r="D765" i="22"/>
  <c r="D757" i="22"/>
  <c r="D884" i="22"/>
  <c r="D925" i="22"/>
  <c r="D53" i="22"/>
  <c r="D45" i="22"/>
  <c r="D71" i="22"/>
  <c r="D120" i="22"/>
  <c r="D199" i="22"/>
  <c r="D191" i="22"/>
  <c r="D241" i="22"/>
  <c r="D233" i="22"/>
  <c r="D225" i="22"/>
  <c r="D353" i="22"/>
  <c r="D345" i="22"/>
  <c r="D337" i="22"/>
  <c r="D465" i="22"/>
  <c r="D455" i="22"/>
  <c r="D491" i="22"/>
  <c r="D621" i="22"/>
  <c r="D613" i="22"/>
  <c r="D605" i="22"/>
  <c r="D768" i="22"/>
  <c r="D795" i="22"/>
  <c r="D1339" i="22"/>
  <c r="D1483" i="22"/>
  <c r="D1566" i="22"/>
  <c r="D1558" i="22"/>
  <c r="D1687" i="22"/>
  <c r="D1672" i="22"/>
  <c r="D1758" i="22"/>
  <c r="D1798" i="22"/>
  <c r="D1875" i="22"/>
  <c r="D1859" i="22"/>
  <c r="D26" i="21"/>
  <c r="D27" i="21"/>
  <c r="D33" i="21"/>
  <c r="D40" i="21"/>
  <c r="D43" i="21"/>
  <c r="D45" i="21"/>
  <c r="D956" i="22"/>
  <c r="D955" i="22"/>
  <c r="D997" i="22"/>
  <c r="D985"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104" i="22"/>
  <c r="D1098" i="22"/>
  <c r="D1097" i="22"/>
  <c r="D1149" i="22"/>
  <c r="D1141" i="22"/>
  <c r="D1187" i="22"/>
  <c r="D1179" i="22"/>
  <c r="D1261" i="22"/>
  <c r="D1342" i="22"/>
  <c r="D1335" i="22"/>
  <c r="D1328" i="22"/>
  <c r="D1327" i="22"/>
  <c r="D1364" i="22"/>
  <c r="D1419" i="22"/>
  <c r="D1416" i="22"/>
  <c r="D1405" i="22"/>
  <c r="D1570" i="22"/>
  <c r="D1562" i="22"/>
  <c r="D1647" i="22"/>
  <c r="D1639" i="22"/>
  <c r="D1631" i="22"/>
  <c r="D1682" i="22"/>
  <c r="D1743" i="22"/>
  <c r="D1787" i="22"/>
  <c r="D1867" i="22"/>
  <c r="D24" i="21"/>
  <c r="D38" i="21"/>
  <c r="D50" i="21"/>
  <c r="D242" i="21"/>
  <c r="D1000" i="22"/>
  <c r="D1117" i="22"/>
  <c r="D1150" i="22"/>
  <c r="D1257" i="22"/>
  <c r="D1303" i="22"/>
  <c r="D1407" i="22"/>
  <c r="D1406" i="22"/>
  <c r="D1401" i="22"/>
  <c r="D1457" i="22"/>
  <c r="D1449" i="22"/>
  <c r="D1441" i="22"/>
  <c r="D1491" i="22"/>
  <c r="D1794" i="22"/>
  <c r="D148" i="21"/>
  <c r="D164" i="21"/>
  <c r="D227" i="21"/>
  <c r="D255" i="21"/>
  <c r="D263" i="21"/>
  <c r="D290" i="21"/>
  <c r="D327" i="21"/>
  <c r="D343" i="21"/>
  <c r="D362" i="21"/>
  <c r="D378" i="21"/>
  <c r="D394" i="21"/>
  <c r="D415" i="21"/>
  <c r="D427" i="21"/>
  <c r="D438" i="21"/>
  <c r="D439" i="21"/>
  <c r="D447" i="21"/>
  <c r="D455" i="21"/>
  <c r="D592" i="21"/>
  <c r="D608"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6" i="21"/>
  <c r="D1322" i="21"/>
  <c r="D1332" i="21"/>
  <c r="D1338" i="21"/>
  <c r="D1345" i="21"/>
  <c r="D1352" i="21"/>
  <c r="D1355" i="21"/>
  <c r="D1363"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78" i="5"/>
  <c r="D109" i="5"/>
  <c r="D117" i="5"/>
  <c r="D125" i="5"/>
  <c r="D153" i="5"/>
  <c r="D189" i="5"/>
  <c r="D190" i="5"/>
  <c r="D197" i="5"/>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85" i="5"/>
  <c r="D186" i="5"/>
  <c r="D193" i="5"/>
  <c r="D194" i="5"/>
  <c r="D84" i="18"/>
  <c r="D1510" i="21"/>
  <c r="D1518" i="21"/>
  <c r="D1534" i="21"/>
  <c r="D1544" i="21"/>
  <c r="D1548" i="21"/>
  <c r="D1676" i="21"/>
  <c r="D1677" i="21"/>
  <c r="D1701" i="21"/>
  <c r="D72" i="5"/>
  <c r="D84" i="5"/>
  <c r="D53" i="18"/>
  <c r="D72" i="18"/>
  <c r="D88" i="18"/>
  <c r="D109" i="18"/>
  <c r="D119" i="18"/>
  <c r="D199" i="5"/>
  <c r="D200" i="5"/>
  <c r="D225" i="5"/>
  <c r="D229" i="5"/>
  <c r="D233" i="5"/>
  <c r="D237" i="5"/>
  <c r="D241" i="5"/>
  <c r="D34" i="18"/>
  <c r="D44" i="18"/>
  <c r="D50" i="18"/>
  <c r="D79" i="18"/>
  <c r="D85" i="18"/>
  <c r="D154" i="18"/>
  <c r="D162" i="18"/>
  <c r="D189" i="18"/>
  <c r="D193" i="18"/>
  <c r="D45" i="18"/>
  <c r="D205" i="18"/>
  <c r="D203" i="5"/>
  <c r="D204" i="5"/>
  <c r="D36" i="18"/>
  <c r="D39" i="18"/>
  <c r="D42" i="18"/>
  <c r="D52" i="18"/>
  <c r="D71" i="18"/>
  <c r="D74" i="18"/>
  <c r="D77" i="18"/>
  <c r="D87" i="18"/>
  <c r="D90" i="18"/>
  <c r="D111" i="18"/>
  <c r="D115" i="18"/>
  <c r="D149" i="18"/>
  <c r="D150" i="18"/>
  <c r="D157" i="18"/>
  <c r="D158" i="18"/>
  <c r="D165" i="18"/>
  <c r="D166" i="18"/>
  <c r="D185" i="18"/>
  <c r="E1881" i="22"/>
  <c r="D33" i="13"/>
  <c r="D47" i="15"/>
  <c r="D48" i="15"/>
  <c r="D78" i="15"/>
  <c r="D83" i="15"/>
  <c r="D121" i="15"/>
  <c r="D122" i="15"/>
  <c r="D197" i="15"/>
  <c r="D238" i="15"/>
  <c r="D269" i="15"/>
  <c r="D351" i="15"/>
  <c r="D123" i="13"/>
  <c r="D148" i="15"/>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98" i="14"/>
  <c r="D190" i="14"/>
  <c r="D233" i="14"/>
  <c r="D224" i="14"/>
  <c r="D278" i="14"/>
  <c r="D270" i="14"/>
  <c r="D262" i="14"/>
  <c r="D357" i="14"/>
  <c r="D354" i="14"/>
  <c r="D353" i="14"/>
  <c r="D350" i="14"/>
  <c r="D349" i="14"/>
  <c r="D346" i="14"/>
  <c r="D345" i="14"/>
  <c r="D342" i="14"/>
  <c r="D341" i="14"/>
  <c r="D338" i="14"/>
  <c r="D337" i="14"/>
  <c r="D385" i="14"/>
  <c r="D381" i="14"/>
  <c r="D468" i="14"/>
  <c r="D460" i="14"/>
  <c r="D452" i="14"/>
  <c r="D545" i="14"/>
  <c r="D537" i="14"/>
  <c r="D529" i="14"/>
  <c r="D621" i="14"/>
  <c r="D613" i="14"/>
  <c r="D605" i="14"/>
  <c r="D685" i="14"/>
  <c r="D735" i="14"/>
  <c r="D726" i="14"/>
  <c r="D718"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66"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34" i="14"/>
  <c r="D126" i="14"/>
  <c r="D122" i="14"/>
  <c r="D118" i="14"/>
  <c r="D114" i="14"/>
  <c r="D110" i="14"/>
  <c r="D164" i="14"/>
  <c r="D160" i="14"/>
  <c r="D156" i="14"/>
  <c r="D152" i="14"/>
  <c r="D148" i="14"/>
  <c r="D203" i="14"/>
  <c r="D195" i="14"/>
  <c r="D187" i="14"/>
  <c r="D232" i="14"/>
  <c r="D229" i="14"/>
  <c r="D275" i="14"/>
  <c r="D267" i="14"/>
  <c r="D391" i="14"/>
  <c r="D384" i="14"/>
  <c r="D380" i="14"/>
  <c r="D377" i="14"/>
  <c r="D413" i="14"/>
  <c r="D465" i="14"/>
  <c r="D457" i="14"/>
  <c r="D544" i="14"/>
  <c r="D536" i="14"/>
  <c r="D528" i="14"/>
  <c r="D620" i="14"/>
  <c r="D612" i="14"/>
  <c r="D604"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72" i="14"/>
  <c r="D71" i="14"/>
  <c r="D202" i="14"/>
  <c r="D194" i="14"/>
  <c r="D186" i="14"/>
  <c r="D228" i="14"/>
  <c r="D274" i="14"/>
  <c r="D266" i="14"/>
  <c r="D319" i="14"/>
  <c r="D316" i="14"/>
  <c r="D315" i="14"/>
  <c r="D312" i="14"/>
  <c r="D311" i="14"/>
  <c r="D308" i="14"/>
  <c r="D307" i="14"/>
  <c r="D304" i="14"/>
  <c r="D303" i="14"/>
  <c r="D300" i="14"/>
  <c r="D299" i="14"/>
  <c r="D392" i="14"/>
  <c r="D376" i="14"/>
  <c r="D430" i="14"/>
  <c r="D426" i="14"/>
  <c r="D422" i="14"/>
  <c r="D418" i="14"/>
  <c r="D414" i="14"/>
  <c r="D464" i="14"/>
  <c r="D617" i="14"/>
  <c r="D609" i="14"/>
  <c r="D681" i="14"/>
  <c r="D730" i="14"/>
  <c r="D722" i="14"/>
  <c r="D1420" i="22"/>
  <c r="D46" i="21"/>
  <c r="D59" i="21"/>
  <c r="D145" i="21"/>
  <c r="D161" i="21"/>
  <c r="D180" i="21"/>
  <c r="D39" i="22"/>
  <c r="D85" i="22"/>
  <c r="D77" i="22"/>
  <c r="D122" i="22"/>
  <c r="D114" i="22"/>
  <c r="D113" i="22"/>
  <c r="D111" i="22"/>
  <c r="D160" i="22"/>
  <c r="D152" i="22"/>
  <c r="D202" i="22"/>
  <c r="D198" i="22"/>
  <c r="D194" i="22"/>
  <c r="D190" i="22"/>
  <c r="D186" i="22"/>
  <c r="D240" i="22"/>
  <c r="D232" i="22"/>
  <c r="D224" i="22"/>
  <c r="D313" i="22"/>
  <c r="D305" i="22"/>
  <c r="D395" i="22"/>
  <c r="D392" i="22"/>
  <c r="D391" i="22"/>
  <c r="D388" i="22"/>
  <c r="D387" i="22"/>
  <c r="D384" i="22"/>
  <c r="D383" i="22"/>
  <c r="D380" i="22"/>
  <c r="D379" i="22"/>
  <c r="D376" i="22"/>
  <c r="D431" i="22"/>
  <c r="D427" i="22"/>
  <c r="D423" i="22"/>
  <c r="D419" i="22"/>
  <c r="D415" i="22"/>
  <c r="D469" i="22"/>
  <c r="D509" i="22"/>
  <c r="D506" i="22"/>
  <c r="D505" i="22"/>
  <c r="D502" i="22"/>
  <c r="D501" i="22"/>
  <c r="D498" i="22"/>
  <c r="D490" i="22"/>
  <c r="D620" i="22"/>
  <c r="D612" i="22"/>
  <c r="D604" i="22"/>
  <c r="D654" i="22"/>
  <c r="D646" i="22"/>
  <c r="D692" i="22"/>
  <c r="D684" i="22"/>
  <c r="D730" i="22"/>
  <c r="D722" i="22"/>
  <c r="D772" i="22"/>
  <c r="D811" i="22"/>
  <c r="D809" i="22"/>
  <c r="D799" i="22"/>
  <c r="D887" i="22"/>
  <c r="D879" i="22"/>
  <c r="D871" i="22"/>
  <c r="D962" i="22"/>
  <c r="D958" i="22"/>
  <c r="D954" i="22"/>
  <c r="D950" i="22"/>
  <c r="D946" i="22"/>
  <c r="D1003" i="22"/>
  <c r="D1002" i="22"/>
  <c r="D989" i="22"/>
  <c r="D1039" i="22"/>
  <c r="D1035" i="22"/>
  <c r="D1031" i="22"/>
  <c r="D1027" i="22"/>
  <c r="D1023" i="22"/>
  <c r="D1072" i="22"/>
  <c r="D1071" i="22"/>
  <c r="D1069" i="22"/>
  <c r="D1068" i="22"/>
  <c r="D1067" i="22"/>
  <c r="D1065" i="22"/>
  <c r="D1115" i="22"/>
  <c r="D1099" i="22"/>
  <c r="D1229" i="22"/>
  <c r="D1221" i="22"/>
  <c r="D1211" i="22"/>
  <c r="D1295" i="22"/>
  <c r="D1289" i="22"/>
  <c r="D1338" i="22"/>
  <c r="D1334" i="22"/>
  <c r="D1330" i="22"/>
  <c r="D1326" i="22"/>
  <c r="D1490" i="22"/>
  <c r="D1482" i="22"/>
  <c r="D1532" i="22"/>
  <c r="D1528" i="22"/>
  <c r="D1524" i="22"/>
  <c r="D1520" i="22"/>
  <c r="D1517" i="22"/>
  <c r="D1555" i="22"/>
  <c r="D1646" i="22"/>
  <c r="D1642" i="22"/>
  <c r="D1638" i="22"/>
  <c r="D1634" i="22"/>
  <c r="D1630" i="22"/>
  <c r="D1677" i="22"/>
  <c r="D1669" i="22"/>
  <c r="D1756" i="22"/>
  <c r="D1745" i="22"/>
  <c r="D1790" i="22"/>
  <c r="D1789" i="22"/>
  <c r="D1786" i="22"/>
  <c r="D1785" i="22"/>
  <c r="D1782" i="22"/>
  <c r="D1781" i="22"/>
  <c r="D1838" i="22"/>
  <c r="D1837" i="22"/>
  <c r="D1834" i="22"/>
  <c r="D1833" i="22"/>
  <c r="D1830" i="22"/>
  <c r="D1829" i="22"/>
  <c r="D1826" i="22"/>
  <c r="D1825" i="22"/>
  <c r="D1822" i="22"/>
  <c r="D1821" i="22"/>
  <c r="D1874" i="22"/>
  <c r="D1872" i="22"/>
  <c r="D1866" i="22"/>
  <c r="D1858" i="22"/>
  <c r="D38" i="22"/>
  <c r="D84" i="22"/>
  <c r="D76" i="22"/>
  <c r="D72" i="22"/>
  <c r="D119" i="22"/>
  <c r="D110" i="22"/>
  <c r="D163" i="22"/>
  <c r="D157" i="22"/>
  <c r="D149" i="22"/>
  <c r="D237" i="22"/>
  <c r="D229" i="22"/>
  <c r="D312" i="22"/>
  <c r="D304" i="22"/>
  <c r="D354" i="22"/>
  <c r="D350" i="22"/>
  <c r="D346" i="22"/>
  <c r="D342" i="22"/>
  <c r="D338" i="22"/>
  <c r="D430" i="22"/>
  <c r="D426" i="22"/>
  <c r="D422" i="22"/>
  <c r="D418" i="22"/>
  <c r="D414" i="22"/>
  <c r="D468" i="22"/>
  <c r="D495" i="22"/>
  <c r="D531" i="22"/>
  <c r="D582" i="22"/>
  <c r="D578" i="22"/>
  <c r="D574" i="22"/>
  <c r="D570" i="22"/>
  <c r="D566" i="22"/>
  <c r="D617" i="22"/>
  <c r="D609" i="22"/>
  <c r="D659" i="22"/>
  <c r="D651" i="22"/>
  <c r="D643" i="22"/>
  <c r="D697" i="22"/>
  <c r="D689" i="22"/>
  <c r="D681" i="22"/>
  <c r="D735" i="22"/>
  <c r="D727" i="22"/>
  <c r="D719" i="22"/>
  <c r="D769" i="22"/>
  <c r="D810" i="22"/>
  <c r="D798" i="22"/>
  <c r="D851" i="22"/>
  <c r="D848" i="22"/>
  <c r="D847" i="22"/>
  <c r="D844" i="22"/>
  <c r="D843" i="22"/>
  <c r="D840" i="22"/>
  <c r="D839" i="22"/>
  <c r="D836" i="22"/>
  <c r="D835" i="22"/>
  <c r="D832" i="22"/>
  <c r="D831" i="22"/>
  <c r="D886" i="22"/>
  <c r="D878" i="22"/>
  <c r="D870" i="22"/>
  <c r="D1001" i="22"/>
  <c r="D988" i="22"/>
  <c r="D1038" i="22"/>
  <c r="D1034" i="22"/>
  <c r="D1030" i="22"/>
  <c r="D1026" i="22"/>
  <c r="D1022" i="22"/>
  <c r="D1064" i="22"/>
  <c r="D1060" i="22"/>
  <c r="D1111" i="22"/>
  <c r="D1228" i="22"/>
  <c r="D1220" i="22"/>
  <c r="D1216" i="22"/>
  <c r="D1212" i="22"/>
  <c r="D1304" i="22"/>
  <c r="D1300" i="22"/>
  <c r="D1296" i="22"/>
  <c r="D1288" i="22"/>
  <c r="D1418" i="22"/>
  <c r="D1410" i="22"/>
  <c r="D1439" i="22"/>
  <c r="D1495" i="22"/>
  <c r="D1487" i="22"/>
  <c r="D1478" i="22"/>
  <c r="D1516" i="22"/>
  <c r="D1515" i="22"/>
  <c r="D1554" i="22"/>
  <c r="D1610" i="22"/>
  <c r="D1609" i="22"/>
  <c r="D1606" i="22"/>
  <c r="D1605" i="22"/>
  <c r="D1602" i="22"/>
  <c r="D1601" i="22"/>
  <c r="D1598" i="22"/>
  <c r="D1597" i="22"/>
  <c r="D1594" i="22"/>
  <c r="D1593" i="22"/>
  <c r="D1684" i="22"/>
  <c r="D1676" i="22"/>
  <c r="D1674" i="22"/>
  <c r="D1668" i="22"/>
  <c r="D1667" i="22"/>
  <c r="D1761" i="22"/>
  <c r="D1753" i="22"/>
  <c r="D1751" i="22"/>
  <c r="D1744" i="22"/>
  <c r="D1839" i="22"/>
  <c r="D1836" i="22"/>
  <c r="D1835" i="22"/>
  <c r="D1832" i="22"/>
  <c r="D1831" i="22"/>
  <c r="D1828" i="22"/>
  <c r="D1827" i="22"/>
  <c r="D1824" i="22"/>
  <c r="D1823" i="22"/>
  <c r="D1820" i="22"/>
  <c r="D1819"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67" i="22"/>
  <c r="D164" i="22"/>
  <c r="D156" i="22"/>
  <c r="D148" i="22"/>
  <c r="D236" i="22"/>
  <c r="D228" i="22"/>
  <c r="D281" i="22"/>
  <c r="D278" i="22"/>
  <c r="D277" i="22"/>
  <c r="D274" i="22"/>
  <c r="D273" i="22"/>
  <c r="D270" i="22"/>
  <c r="D269" i="22"/>
  <c r="D266" i="22"/>
  <c r="D265" i="22"/>
  <c r="D262" i="22"/>
  <c r="D261" i="22"/>
  <c r="D317" i="22"/>
  <c r="D309" i="22"/>
  <c r="D301" i="22"/>
  <c r="D464" i="22"/>
  <c r="D463" i="22"/>
  <c r="D461" i="22"/>
  <c r="D457" i="22"/>
  <c r="D453" i="22"/>
  <c r="D451" i="22"/>
  <c r="D494" i="22"/>
  <c r="D544" i="22"/>
  <c r="D540" i="22"/>
  <c r="D536" i="22"/>
  <c r="D532" i="22"/>
  <c r="D616" i="22"/>
  <c r="D608" i="22"/>
  <c r="D658" i="22"/>
  <c r="D650" i="22"/>
  <c r="D642" i="22"/>
  <c r="D696" i="22"/>
  <c r="D688" i="22"/>
  <c r="D680" i="22"/>
  <c r="D883" i="22"/>
  <c r="D875" i="22"/>
  <c r="D1107" i="22"/>
  <c r="D1225" i="22"/>
  <c r="D1223" i="22"/>
  <c r="D1293"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608" i="22"/>
  <c r="D1604" i="22"/>
  <c r="D1600" i="22"/>
  <c r="D1596" i="22"/>
  <c r="D1592" i="22"/>
  <c r="D1681" i="22"/>
  <c r="D1673" i="22"/>
  <c r="D1725" i="22"/>
  <c r="D1722" i="22"/>
  <c r="D1721" i="22"/>
  <c r="D1718" i="22"/>
  <c r="D1717" i="22"/>
  <c r="D1714" i="22"/>
  <c r="D1713" i="22"/>
  <c r="D1710" i="22"/>
  <c r="D1706"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93" i="22"/>
  <c r="D685" i="22"/>
  <c r="D731" i="22"/>
  <c r="D723" i="22"/>
  <c r="D771" i="22"/>
  <c r="D764" i="22"/>
  <c r="D760" i="22"/>
  <c r="D756" i="22"/>
  <c r="D812" i="22"/>
  <c r="D806" i="22"/>
  <c r="D805" i="22"/>
  <c r="D802" i="22"/>
  <c r="D801" i="22"/>
  <c r="D800" i="22"/>
  <c r="D794" i="22"/>
  <c r="D793" i="22"/>
  <c r="D882" i="22"/>
  <c r="D874" i="22"/>
  <c r="D924" i="22"/>
  <c r="D920" i="22"/>
  <c r="D916" i="22"/>
  <c r="D912" i="22"/>
  <c r="D908" i="22"/>
  <c r="D996" i="22"/>
  <c r="D992" i="22"/>
  <c r="D984" i="22"/>
  <c r="D1076" i="22"/>
  <c r="D1112" i="22"/>
  <c r="D1106" i="22"/>
  <c r="D1103" i="22"/>
  <c r="D1152" i="22"/>
  <c r="D1148" i="22"/>
  <c r="D1144" i="22"/>
  <c r="D1140" i="22"/>
  <c r="D1136" i="22"/>
  <c r="D1190" i="22"/>
  <c r="D1186" i="22"/>
  <c r="D1182" i="22"/>
  <c r="D1178" i="22"/>
  <c r="D1174" i="22"/>
  <c r="D1224" i="22"/>
  <c r="D1266" i="22"/>
  <c r="D1262" i="22"/>
  <c r="D1258" i="22"/>
  <c r="D1254" i="22"/>
  <c r="D1250"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3" i="18"/>
  <c r="D41" i="18"/>
  <c r="D49" i="18"/>
  <c r="D113" i="18"/>
  <c r="D114" i="18"/>
  <c r="D129" i="18"/>
  <c r="D153" i="18"/>
  <c r="D161" i="18"/>
  <c r="D188" i="18"/>
  <c r="D196" i="18"/>
  <c r="D148" i="18"/>
  <c r="D156" i="18"/>
  <c r="D164" i="18"/>
  <c r="D191" i="18"/>
  <c r="D199" i="18"/>
  <c r="D200" i="18"/>
  <c r="D192" i="18"/>
  <c r="D203" i="18"/>
  <c r="D204" i="18"/>
  <c r="D118" i="18"/>
  <c r="D122" i="18"/>
  <c r="D126" i="18"/>
  <c r="D152" i="18"/>
  <c r="D160" i="18"/>
  <c r="D187" i="18"/>
  <c r="D195" i="18"/>
  <c r="D1877" i="22"/>
  <c r="D1876" i="22"/>
  <c r="D1869" i="22"/>
  <c r="D1868" i="22"/>
  <c r="D1861" i="22"/>
  <c r="D1860" i="22"/>
  <c r="D1865" i="22"/>
  <c r="D1864" i="22"/>
  <c r="D1857" i="22"/>
  <c r="D1800" i="22"/>
  <c r="D1799" i="22"/>
  <c r="D1796" i="22"/>
  <c r="D1795" i="22"/>
  <c r="D1747" i="22"/>
  <c r="D1746" i="22"/>
  <c r="D1763" i="22"/>
  <c r="D1762" i="22"/>
  <c r="D1755" i="22"/>
  <c r="D1754" i="22"/>
  <c r="D1724" i="22"/>
  <c r="D1723" i="22"/>
  <c r="D1720" i="22"/>
  <c r="D1719" i="22"/>
  <c r="D1716" i="22"/>
  <c r="D1715" i="22"/>
  <c r="D1712" i="22"/>
  <c r="D1711" i="22"/>
  <c r="D1708" i="22"/>
  <c r="D1707" i="22"/>
  <c r="D1709" i="22"/>
  <c r="D1705" i="22"/>
  <c r="D1679" i="22"/>
  <c r="D1678" i="22"/>
  <c r="D1671" i="22"/>
  <c r="D1670" i="22"/>
  <c r="D1686" i="22"/>
  <c r="D1685" i="22"/>
  <c r="D1649" i="22"/>
  <c r="D1645" i="22"/>
  <c r="D1641" i="22"/>
  <c r="D1637" i="22"/>
  <c r="D1633" i="22"/>
  <c r="D1611" i="22"/>
  <c r="D1607" i="22"/>
  <c r="D1603" i="22"/>
  <c r="D1599" i="22"/>
  <c r="D1595" i="22"/>
  <c r="D1591"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77" i="22"/>
  <c r="D1485" i="22"/>
  <c r="D1484" i="22"/>
  <c r="D1459" i="22"/>
  <c r="D1455" i="22"/>
  <c r="D1451" i="22"/>
  <c r="D1447" i="22"/>
  <c r="D1443" i="22"/>
  <c r="D1417" i="22"/>
  <c r="D1409" i="22"/>
  <c r="D1404" i="22"/>
  <c r="D1421" i="22"/>
  <c r="D1413" i="22"/>
  <c r="D1382" i="22"/>
  <c r="D1378" i="22"/>
  <c r="D1374" i="22"/>
  <c r="D1370" i="22"/>
  <c r="D1366" i="22"/>
  <c r="D1344" i="22"/>
  <c r="D1343" i="22"/>
  <c r="D1340" i="22"/>
  <c r="D1337" i="22"/>
  <c r="D1333" i="22"/>
  <c r="D1329" i="22"/>
  <c r="D1325" i="22"/>
  <c r="D1291" i="22"/>
  <c r="D1290" i="22"/>
  <c r="D1306" i="22"/>
  <c r="D1305" i="22"/>
  <c r="D1302" i="22"/>
  <c r="D1301" i="22"/>
  <c r="D1298" i="22"/>
  <c r="D1297" i="22"/>
  <c r="D1268" i="22"/>
  <c r="D1267" i="22"/>
  <c r="D1264" i="22"/>
  <c r="D1263" i="22"/>
  <c r="D1260" i="22"/>
  <c r="D1259" i="22"/>
  <c r="D1256" i="22"/>
  <c r="D1255" i="22"/>
  <c r="D1252" i="22"/>
  <c r="D1251" i="22"/>
  <c r="D1231" i="22"/>
  <c r="D1230" i="22"/>
  <c r="D1222" i="22"/>
  <c r="D1218" i="22"/>
  <c r="D1217" i="22"/>
  <c r="D1214" i="22"/>
  <c r="D1213" i="22"/>
  <c r="D1227" i="22"/>
  <c r="D1226" i="22"/>
  <c r="D1219" i="22"/>
  <c r="D1215" i="22"/>
  <c r="D1193" i="22"/>
  <c r="D1189" i="22"/>
  <c r="D1185" i="22"/>
  <c r="D1181" i="22"/>
  <c r="D1177" i="22"/>
  <c r="D1173" i="22"/>
  <c r="D1155" i="22"/>
  <c r="D1151" i="22"/>
  <c r="D1147" i="22"/>
  <c r="D1143" i="22"/>
  <c r="D1139" i="22"/>
  <c r="D1135" i="22"/>
  <c r="D1109" i="22"/>
  <c r="D1105" i="22"/>
  <c r="D1101" i="22"/>
  <c r="D1063" i="22"/>
  <c r="D1061" i="22"/>
  <c r="D1059" i="22"/>
  <c r="D1078" i="22"/>
  <c r="D1074" i="22"/>
  <c r="D1079" i="22"/>
  <c r="D1077" i="22"/>
  <c r="D1075" i="22"/>
  <c r="D1073" i="22"/>
  <c r="D1070" i="22"/>
  <c r="D1066" i="22"/>
  <c r="D1041" i="22"/>
  <c r="D1037" i="22"/>
  <c r="D1033" i="22"/>
  <c r="D1029" i="22"/>
  <c r="D1025" i="22"/>
  <c r="D1021" i="22"/>
  <c r="D987" i="22"/>
  <c r="D986" i="22"/>
  <c r="D995" i="22"/>
  <c r="D991" i="22"/>
  <c r="D990" i="22"/>
  <c r="D983" i="22"/>
  <c r="D965" i="22"/>
  <c r="D961" i="22"/>
  <c r="D957" i="22"/>
  <c r="D953" i="22"/>
  <c r="D949" i="22"/>
  <c r="D945" i="22"/>
  <c r="D889" i="22"/>
  <c r="D888" i="22"/>
  <c r="D881" i="22"/>
  <c r="D880" i="22"/>
  <c r="D873" i="22"/>
  <c r="D872" i="22"/>
  <c r="D850" i="22"/>
  <c r="D849" i="22"/>
  <c r="D846" i="22"/>
  <c r="D845" i="22"/>
  <c r="D842" i="22"/>
  <c r="D841" i="22"/>
  <c r="D838" i="22"/>
  <c r="D837" i="22"/>
  <c r="D834" i="22"/>
  <c r="D833" i="22"/>
  <c r="D808" i="22"/>
  <c r="D797" i="22"/>
  <c r="D796" i="22"/>
  <c r="D804" i="22"/>
  <c r="D803" i="22"/>
  <c r="D774" i="22"/>
  <c r="D773" i="22"/>
  <c r="D763" i="22"/>
  <c r="D759" i="22"/>
  <c r="D755" i="22"/>
  <c r="D775" i="22"/>
  <c r="D770" i="22"/>
  <c r="D737" i="22"/>
  <c r="D736" i="22"/>
  <c r="D729" i="22"/>
  <c r="D728" i="22"/>
  <c r="D721" i="22"/>
  <c r="D720" i="22"/>
  <c r="D699" i="22"/>
  <c r="D698" i="22"/>
  <c r="D691" i="22"/>
  <c r="D690" i="22"/>
  <c r="D683" i="22"/>
  <c r="D682" i="22"/>
  <c r="D695" i="22"/>
  <c r="D694" i="22"/>
  <c r="D687" i="22"/>
  <c r="D686" i="22"/>
  <c r="D679" i="22"/>
  <c r="D661" i="22"/>
  <c r="D660" i="22"/>
  <c r="D653" i="22"/>
  <c r="D652" i="22"/>
  <c r="D645" i="22"/>
  <c r="D644" i="22"/>
  <c r="D619" i="22"/>
  <c r="D618" i="22"/>
  <c r="D611" i="22"/>
  <c r="D610" i="22"/>
  <c r="D603"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493" i="22"/>
  <c r="D492" i="22"/>
  <c r="D508" i="22"/>
  <c r="D507" i="22"/>
  <c r="D504" i="22"/>
  <c r="D503" i="22"/>
  <c r="D500" i="22"/>
  <c r="D499" i="22"/>
  <c r="D462" i="22"/>
  <c r="D433" i="22"/>
  <c r="D429" i="22"/>
  <c r="D425" i="22"/>
  <c r="D421" i="22"/>
  <c r="D417" i="22"/>
  <c r="D413" i="22"/>
  <c r="D356" i="22"/>
  <c r="D355" i="22"/>
  <c r="D352" i="22"/>
  <c r="D351" i="22"/>
  <c r="D348" i="22"/>
  <c r="D347" i="22"/>
  <c r="D344" i="22"/>
  <c r="D343" i="22"/>
  <c r="D340" i="22"/>
  <c r="D339" i="22"/>
  <c r="D319" i="22"/>
  <c r="D318" i="22"/>
  <c r="D311" i="22"/>
  <c r="D310" i="22"/>
  <c r="D303" i="22"/>
  <c r="D302" i="22"/>
  <c r="D315" i="22"/>
  <c r="D314" i="22"/>
  <c r="D307" i="22"/>
  <c r="D306" i="22"/>
  <c r="D299" i="22"/>
  <c r="D280" i="22"/>
  <c r="D279" i="22"/>
  <c r="D276" i="22"/>
  <c r="D275" i="22"/>
  <c r="D272" i="22"/>
  <c r="D271" i="22"/>
  <c r="D268" i="22"/>
  <c r="D267" i="22"/>
  <c r="D264" i="22"/>
  <c r="D263" i="22"/>
  <c r="D243" i="22"/>
  <c r="D242" i="22"/>
  <c r="D235" i="22"/>
  <c r="D234" i="22"/>
  <c r="D227" i="22"/>
  <c r="D226" i="22"/>
  <c r="D205" i="22"/>
  <c r="D201" i="22"/>
  <c r="D197" i="22"/>
  <c r="D193" i="22"/>
  <c r="D189" i="22"/>
  <c r="D185" i="22"/>
  <c r="D159" i="22"/>
  <c r="D158" i="22"/>
  <c r="D151" i="22"/>
  <c r="D150" i="22"/>
  <c r="D166" i="22"/>
  <c r="D165" i="22"/>
  <c r="D128" i="22"/>
  <c r="D127" i="22"/>
  <c r="D117" i="22"/>
  <c r="D116" i="22"/>
  <c r="D129" i="22"/>
  <c r="D124" i="22"/>
  <c r="D123" i="22"/>
  <c r="D112" i="22"/>
  <c r="D87" i="22"/>
  <c r="D86" i="22"/>
  <c r="D79" i="22"/>
  <c r="D78" i="22"/>
  <c r="D74" i="22"/>
  <c r="D73" i="22"/>
  <c r="D37" i="22"/>
  <c r="D36" i="22"/>
  <c r="D52" i="22"/>
  <c r="D51" i="22"/>
  <c r="D48" i="22"/>
  <c r="D47" i="22"/>
  <c r="D44" i="22"/>
  <c r="D43" i="22"/>
  <c r="D729" i="14"/>
  <c r="D728" i="14"/>
  <c r="D721" i="14"/>
  <c r="D720" i="14"/>
  <c r="E704" i="14"/>
  <c r="D737" i="14"/>
  <c r="D732" i="14"/>
  <c r="D725" i="14"/>
  <c r="D724" i="14"/>
  <c r="D717" i="14"/>
  <c r="D699" i="14"/>
  <c r="D698" i="14"/>
  <c r="D697" i="14"/>
  <c r="D694" i="14"/>
  <c r="D693" i="14"/>
  <c r="D690" i="14"/>
  <c r="D689" i="14"/>
  <c r="D660" i="14"/>
  <c r="D652" i="14"/>
  <c r="D659" i="14"/>
  <c r="D656" i="14"/>
  <c r="D655" i="14"/>
  <c r="D651" i="14"/>
  <c r="D648" i="14"/>
  <c r="D647" i="14"/>
  <c r="D644" i="14"/>
  <c r="D643" i="14"/>
  <c r="D661" i="14"/>
  <c r="D657" i="14"/>
  <c r="D653" i="14"/>
  <c r="D649" i="14"/>
  <c r="D645" i="14"/>
  <c r="D641" i="14"/>
  <c r="D623" i="14"/>
  <c r="D622" i="14"/>
  <c r="D615" i="14"/>
  <c r="D614" i="14"/>
  <c r="D607" i="14"/>
  <c r="D606" i="14"/>
  <c r="D585" i="14"/>
  <c r="D581" i="14"/>
  <c r="D577" i="14"/>
  <c r="D573" i="14"/>
  <c r="D569" i="14"/>
  <c r="D565" i="14"/>
  <c r="D547" i="14"/>
  <c r="D546" i="14"/>
  <c r="D539" i="14"/>
  <c r="D538" i="14"/>
  <c r="D531" i="14"/>
  <c r="D530" i="14"/>
  <c r="D508" i="14"/>
  <c r="D507" i="14"/>
  <c r="D504" i="14"/>
  <c r="D503" i="14"/>
  <c r="D500" i="14"/>
  <c r="D499" i="14"/>
  <c r="D496" i="14"/>
  <c r="D495" i="14"/>
  <c r="D492" i="14"/>
  <c r="D491" i="14"/>
  <c r="D471" i="14"/>
  <c r="D470" i="14"/>
  <c r="D463" i="14"/>
  <c r="D462" i="14"/>
  <c r="D455" i="14"/>
  <c r="D454" i="14"/>
  <c r="D467" i="14"/>
  <c r="D466" i="14"/>
  <c r="D459" i="14"/>
  <c r="D458" i="14"/>
  <c r="D451" i="14"/>
  <c r="D433" i="14"/>
  <c r="D429" i="14"/>
  <c r="D425" i="14"/>
  <c r="D421" i="14"/>
  <c r="D417" i="14"/>
  <c r="D395" i="14"/>
  <c r="D390" i="14"/>
  <c r="D389" i="14"/>
  <c r="D375" i="14"/>
  <c r="D387" i="14"/>
  <c r="D386" i="14"/>
  <c r="D378" i="14"/>
  <c r="D356" i="14"/>
  <c r="D355" i="14"/>
  <c r="D352" i="14"/>
  <c r="D351" i="14"/>
  <c r="D348" i="14"/>
  <c r="D347" i="14"/>
  <c r="D344" i="14"/>
  <c r="D343" i="14"/>
  <c r="D340" i="14"/>
  <c r="D339" i="14"/>
  <c r="D318" i="14"/>
  <c r="D317" i="14"/>
  <c r="D314" i="14"/>
  <c r="D313" i="14"/>
  <c r="D310" i="14"/>
  <c r="D309" i="14"/>
  <c r="D306" i="14"/>
  <c r="D305" i="14"/>
  <c r="D302" i="14"/>
  <c r="D301" i="14"/>
  <c r="D281" i="14"/>
  <c r="D280" i="14"/>
  <c r="D273" i="14"/>
  <c r="D272" i="14"/>
  <c r="D265" i="14"/>
  <c r="D264" i="14"/>
  <c r="D277" i="14"/>
  <c r="D276" i="14"/>
  <c r="D269" i="14"/>
  <c r="D268" i="14"/>
  <c r="D261" i="14"/>
  <c r="D242" i="14"/>
  <c r="D241" i="14"/>
  <c r="D238" i="14"/>
  <c r="D237" i="14"/>
  <c r="D227" i="14"/>
  <c r="D226" i="14"/>
  <c r="D230" i="14"/>
  <c r="D223" i="14"/>
  <c r="D205" i="14"/>
  <c r="D204" i="14"/>
  <c r="D197" i="14"/>
  <c r="D196" i="14"/>
  <c r="D189" i="14"/>
  <c r="D188" i="14"/>
  <c r="D166" i="14"/>
  <c r="D162" i="14"/>
  <c r="D158" i="14"/>
  <c r="D154" i="14"/>
  <c r="D150" i="14"/>
  <c r="D129" i="14"/>
  <c r="D125" i="14"/>
  <c r="D121" i="14"/>
  <c r="D117" i="14"/>
  <c r="D113" i="14"/>
  <c r="D109" i="14"/>
  <c r="D90" i="14"/>
  <c r="D89" i="14"/>
  <c r="D86" i="14"/>
  <c r="D85" i="14"/>
  <c r="D82" i="14"/>
  <c r="D81" i="14"/>
  <c r="D78" i="14"/>
  <c r="D77" i="14"/>
  <c r="D74" i="14"/>
  <c r="D73" i="14"/>
  <c r="D52" i="14"/>
  <c r="D51" i="14"/>
  <c r="D48" i="14"/>
  <c r="D47" i="14"/>
  <c r="D44" i="14"/>
  <c r="D43" i="14"/>
  <c r="D40" i="14"/>
  <c r="D39" i="14"/>
  <c r="D36" i="14"/>
  <c r="D35"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L62" i="9" a="1"/>
  <c r="AM62" i="9" a="1"/>
  <c r="N62" i="9" a="1"/>
  <c r="AV62" i="9" a="1"/>
  <c r="AH62" i="9" a="1"/>
  <c r="AO62" i="9" a="1"/>
  <c r="AG62" i="9" a="1"/>
  <c r="AN62" i="9" a="1"/>
  <c r="Y62" i="9" a="1"/>
  <c r="G62" i="9" a="1"/>
  <c r="E62" i="9" a="1"/>
  <c r="H62" i="9" a="1"/>
  <c r="AS62" i="9" a="1"/>
  <c r="V62" i="9" a="1"/>
  <c r="AD62" i="9" a="1"/>
  <c r="AQ62" i="9" a="1"/>
  <c r="R62" i="9" a="1"/>
  <c r="Q62" i="9" a="1"/>
  <c r="AA62" i="9" a="1"/>
  <c r="AB62" i="9" a="1"/>
  <c r="S62" i="9" a="1"/>
  <c r="O62" i="9" a="1"/>
  <c r="K62" i="9" a="1"/>
  <c r="M62" i="9" a="1"/>
  <c r="X62" i="9" a="1"/>
  <c r="AL62" i="9" a="1"/>
  <c r="P62" i="9" a="1"/>
  <c r="U62" i="9" a="1"/>
  <c r="AU62" i="9" a="1"/>
  <c r="AJ62" i="9" a="1"/>
  <c r="Z62" i="9" a="1"/>
  <c r="AW62" i="9" a="1"/>
  <c r="AI62" i="9" a="1"/>
  <c r="J62" i="9" a="1"/>
  <c r="AF62" i="9" a="1"/>
  <c r="AK62" i="9" a="1"/>
  <c r="AE62" i="9" a="1"/>
  <c r="AC62" i="9" a="1"/>
  <c r="I62" i="9" a="1"/>
  <c r="AT62" i="9" a="1"/>
  <c r="AR62" i="9" a="1"/>
  <c r="W62" i="9" a="1"/>
  <c r="T62" i="9" a="1"/>
  <c r="F62" i="9" a="1"/>
  <c r="AP62" i="9" a="1"/>
  <c r="CG30" i="9" a="1"/>
  <c r="BC31" i="9" a="1"/>
  <c r="CD32" i="9" a="1"/>
  <c r="E32" i="9" a="1"/>
  <c r="AM30" i="9" a="1"/>
  <c r="AM33" i="9" a="1"/>
  <c r="R29" i="9" a="1"/>
  <c r="CC29" i="9" a="1"/>
  <c r="I31" i="9" a="1"/>
  <c r="S32" i="9" a="1"/>
  <c r="BI32" i="9" a="1"/>
  <c r="CR30" i="9" a="1"/>
  <c r="BO33" i="9" a="1"/>
  <c r="Q29" i="9" a="1"/>
  <c r="BV29" i="9" a="1"/>
  <c r="E31" i="9" a="1"/>
  <c r="O32" i="9" a="1"/>
  <c r="BA32" i="9" a="1"/>
  <c r="CJ30" i="9" a="1"/>
  <c r="BK33" i="9" a="1"/>
  <c r="S29" i="9" a="1"/>
  <c r="AS29" i="9" a="1"/>
  <c r="CR31" i="9" a="1"/>
  <c r="K32" i="9" a="1"/>
  <c r="AS32" i="9" a="1"/>
  <c r="CA30" i="9" a="1"/>
  <c r="BG33" i="9" a="1"/>
  <c r="AL29" i="9" a="1"/>
  <c r="E29" i="9" a="1"/>
  <c r="CJ31" i="9" a="1"/>
  <c r="G32" i="9" a="1"/>
  <c r="AK32" i="9" a="1"/>
  <c r="BS30" i="9" a="1"/>
  <c r="BC33" i="9" a="1"/>
  <c r="P29" i="9" a="1"/>
  <c r="BJ29" i="9" a="1"/>
  <c r="CL31" i="9" a="1"/>
  <c r="X31" i="9" a="1"/>
  <c r="AW32" i="9" a="1"/>
  <c r="AN30" i="9" a="1"/>
  <c r="BD33" i="9" a="1"/>
  <c r="CP33" i="9" a="1"/>
  <c r="G29" i="9" a="1"/>
  <c r="BF31" i="9" a="1"/>
  <c r="BG31" i="9" a="1"/>
  <c r="Z32" i="9" a="1"/>
  <c r="AO30" i="9" a="1"/>
  <c r="V30" i="9" a="1"/>
  <c r="BF33" i="9" a="1"/>
  <c r="AF29" i="9" a="1"/>
  <c r="AW29" i="9" a="1"/>
  <c r="BK31" i="9" a="1"/>
  <c r="AA32" i="9" a="1"/>
  <c r="BY32" i="9" a="1"/>
  <c r="R30" i="9" a="1"/>
  <c r="BW33" i="9" a="1"/>
  <c r="AP29" i="9" a="1"/>
  <c r="BK29" i="9" a="1"/>
  <c r="AD33" i="9" a="1"/>
  <c r="AD30" i="9" a="1"/>
  <c r="BL30" i="9" a="1"/>
  <c r="CG31" i="9" a="1"/>
  <c r="CF31" i="9" a="1"/>
  <c r="AX32" i="9" a="1"/>
  <c r="BM30" i="9" a="1"/>
  <c r="BR30" i="9" a="1"/>
  <c r="G33" i="9" a="1"/>
  <c r="AJ29" i="9" a="1"/>
  <c r="BO29" i="9" a="1"/>
  <c r="AU31" i="9" a="1"/>
  <c r="BZ32" i="9" a="1"/>
  <c r="CP30" i="9" a="1"/>
  <c r="AE30" i="9" a="1"/>
  <c r="AI33" i="9" a="1"/>
  <c r="BA29" i="9" a="1"/>
  <c r="X29" i="9" a="1"/>
  <c r="AM31" i="9" a="1"/>
  <c r="BV32" i="9" a="1"/>
  <c r="CL30" i="9" a="1"/>
  <c r="W30" i="9" a="1"/>
  <c r="AE33" i="9" a="1"/>
  <c r="K29" i="9" a="1"/>
  <c r="BU29" i="9" a="1"/>
  <c r="AE31" i="9" a="1"/>
  <c r="BR32" i="9" a="1"/>
  <c r="CH30" i="9" a="1"/>
  <c r="O30" i="9" a="1"/>
  <c r="AA33" i="9" a="1"/>
  <c r="AG29" i="9" a="1"/>
  <c r="CB29" i="9" a="1"/>
  <c r="W31" i="9" a="1"/>
  <c r="BN32" i="9" a="1"/>
  <c r="CC30" i="9" a="1"/>
  <c r="G30" i="9" a="1"/>
  <c r="W33" i="9" a="1"/>
  <c r="T29" i="9" a="1"/>
  <c r="BG29" i="9" a="1"/>
  <c r="BE31" i="9" a="1"/>
  <c r="BO32" i="9" a="1"/>
  <c r="BT32" i="9" a="1"/>
  <c r="H30" i="9" a="1"/>
  <c r="X33" i="9" a="1"/>
  <c r="BB33" i="9" a="1"/>
  <c r="AH29" i="9" a="1"/>
  <c r="Z31" i="9" a="1"/>
  <c r="CB31" i="9" a="1"/>
  <c r="CH32" i="9" a="1"/>
  <c r="I30" i="9" a="1"/>
  <c r="AY30" i="9" a="1"/>
  <c r="BU33" i="9" a="1"/>
  <c r="AK29" i="9" a="1"/>
  <c r="BP29" i="9" a="1"/>
  <c r="CO31" i="9" a="1"/>
  <c r="CI32" i="9" a="1"/>
  <c r="M32" i="9" a="1"/>
  <c r="AU30" i="9" a="1"/>
  <c r="AQ33" i="9" a="1"/>
  <c r="AU29" i="9" a="1"/>
  <c r="AE29" i="9" a="1"/>
  <c r="AB30" i="9" a="1"/>
  <c r="BT33" i="9" a="1"/>
  <c r="BP33" i="9" a="1"/>
  <c r="BL33" i="9" a="1"/>
  <c r="AR30" i="9" a="1"/>
  <c r="AD32" i="9" a="1"/>
  <c r="AE32" i="9" a="1"/>
  <c r="AA29" i="9" a="1"/>
  <c r="BX29" i="9" a="1"/>
  <c r="CD31" i="9" a="1"/>
  <c r="T31" i="9" a="1"/>
  <c r="R32" i="9" a="1"/>
  <c r="AG30" i="9" a="1"/>
  <c r="F30" i="9" a="1"/>
  <c r="AP33" i="9" a="1"/>
  <c r="U29" i="9" a="1"/>
  <c r="CG33" i="9" a="1"/>
  <c r="BX31" i="9" a="1"/>
  <c r="AT32" i="9" a="1"/>
  <c r="BI30" i="9" a="1"/>
  <c r="BJ30" i="9" a="1"/>
  <c r="CQ33" i="9" a="1"/>
  <c r="AY29" i="9" a="1"/>
  <c r="Y29" i="9" a="1"/>
  <c r="BP31" i="9" a="1"/>
  <c r="AP32" i="9" a="1"/>
  <c r="BE30" i="9" a="1"/>
  <c r="BB30" i="9" a="1"/>
  <c r="CM33" i="9" a="1"/>
  <c r="BD29" i="9" a="1"/>
  <c r="BY29" i="9" a="1"/>
  <c r="BH31" i="9" a="1"/>
  <c r="AL32" i="9" a="1"/>
  <c r="BA30" i="9" a="1"/>
  <c r="AT30" i="9" a="1"/>
  <c r="CD33" i="9" a="1"/>
  <c r="AC29" i="9" a="1"/>
  <c r="CK29" i="9" a="1"/>
  <c r="AZ31" i="9" a="1"/>
  <c r="AH32" i="9" a="1"/>
  <c r="AW30" i="9" a="1"/>
  <c r="AL30" i="9" a="1"/>
  <c r="BV33" i="9" a="1"/>
  <c r="BN29" i="9" a="1"/>
  <c r="BB29" i="9" a="1"/>
  <c r="Y31" i="9" a="1"/>
  <c r="AI32" i="9" a="1"/>
  <c r="H32" i="9" a="1"/>
  <c r="AH30" i="9" a="1"/>
  <c r="CE33" i="9" a="1"/>
  <c r="U33" i="9" a="1"/>
  <c r="CD29" i="9" a="1"/>
  <c r="CH31" i="9" a="1"/>
  <c r="P31" i="9" a="1"/>
  <c r="T32" i="9" a="1"/>
  <c r="BP30" i="9" a="1"/>
  <c r="CF33" i="9" a="1"/>
  <c r="I33" i="9" a="1"/>
  <c r="AO29" i="9" a="1"/>
  <c r="CI31" i="9" a="1"/>
  <c r="AB31" i="9" a="1"/>
  <c r="BB32" i="9" a="1"/>
  <c r="BQ30" i="9" a="1"/>
  <c r="BZ30" i="9" a="1"/>
  <c r="K33" i="9" a="1"/>
  <c r="AV29" i="9" a="1"/>
  <c r="AB29" i="9" a="1"/>
  <c r="BF29" i="9" a="1"/>
  <c r="AT33" i="9" a="1"/>
  <c r="BU32" i="9" a="1"/>
  <c r="BM32" i="9" a="1"/>
  <c r="AF31" i="9" a="1"/>
  <c r="CJ29" i="9" a="1"/>
  <c r="AQ29" i="9" a="1"/>
  <c r="F33" i="9" a="1"/>
  <c r="BZ33" i="9" a="1"/>
  <c r="AX31" i="9" a="1"/>
  <c r="AQ31" i="9" a="1"/>
  <c r="BP32" i="9" a="1"/>
  <c r="CO30" i="9" a="1"/>
  <c r="AI30" i="9" a="1"/>
  <c r="BE33" i="9" a="1"/>
  <c r="CE29" i="9" a="1"/>
  <c r="BZ31" i="9" a="1"/>
  <c r="L31" i="9" a="1"/>
  <c r="N32" i="9" a="1"/>
  <c r="AC30" i="9" a="1"/>
  <c r="CN30" i="9" a="1"/>
  <c r="AH33" i="9" a="1"/>
  <c r="AN29" i="9" a="1"/>
  <c r="BV31" i="9" a="1"/>
  <c r="CN31" i="9" a="1"/>
  <c r="J32" i="9" a="1"/>
  <c r="Y30" i="9" a="1"/>
  <c r="CE30" i="9" a="1"/>
  <c r="Z33" i="9" a="1"/>
  <c r="BZ29" i="9" a="1"/>
  <c r="BR31" i="9" a="1"/>
  <c r="CE31" i="9" a="1"/>
  <c r="F32" i="9" a="1"/>
  <c r="U30" i="9" a="1"/>
  <c r="BW30" i="9" a="1"/>
  <c r="R33" i="9" a="1"/>
  <c r="CM29" i="9" a="1"/>
  <c r="BN31" i="9" a="1"/>
  <c r="BW31" i="9" a="1"/>
  <c r="CO32" i="9" a="1"/>
  <c r="Q30" i="9" a="1"/>
  <c r="BO30" i="9" a="1"/>
  <c r="CL33" i="9" a="1"/>
  <c r="CF29" i="9" a="1"/>
  <c r="Z29" i="9" a="1"/>
  <c r="CA31" i="9" a="1"/>
  <c r="CQ32" i="9" a="1"/>
  <c r="AC32" i="9" a="1"/>
  <c r="BK30" i="9" a="1"/>
  <c r="AY33" i="9" a="1"/>
  <c r="CQ29" i="9" a="1"/>
  <c r="CL29" i="9" a="1"/>
  <c r="BA31" i="9" a="1"/>
  <c r="CR32" i="9" a="1"/>
  <c r="AO32" i="9" a="1"/>
  <c r="AJ30" i="9" a="1"/>
  <c r="AZ33" i="9" a="1"/>
  <c r="BY33" i="9" a="1"/>
  <c r="BC29" i="9" a="1"/>
  <c r="BB31" i="9" a="1"/>
  <c r="AY31" i="9" a="1"/>
  <c r="V32" i="9" a="1"/>
  <c r="AK30" i="9" a="1"/>
  <c r="N30" i="9" a="1"/>
  <c r="AX33" i="9" a="1"/>
  <c r="CH29" i="9" a="1"/>
  <c r="O29" i="9" a="1"/>
  <c r="CJ32" i="9" a="1"/>
  <c r="N31" i="9" a="1"/>
  <c r="CA29" i="9" a="1"/>
  <c r="BS29" i="9" a="1"/>
  <c r="N33" i="9" a="1"/>
  <c r="BH33" i="9" a="1"/>
  <c r="AS30" i="9" a="1"/>
  <c r="CK32" i="9" a="1"/>
  <c r="H31" i="9" a="1"/>
  <c r="R31" i="9" a="1"/>
  <c r="BL31" i="9" a="1"/>
  <c r="CP32" i="9" a="1"/>
  <c r="BH30" i="9" a="1"/>
  <c r="BX33" i="9" a="1"/>
  <c r="BJ33" i="9" a="1"/>
  <c r="AZ29" i="9" a="1"/>
  <c r="AT31" i="9" a="1"/>
  <c r="AI31" i="9" a="1"/>
  <c r="BH32" i="9" a="1"/>
  <c r="CK30" i="9" a="1"/>
  <c r="AA30" i="9" a="1"/>
  <c r="AW33" i="9" a="1"/>
  <c r="M29" i="9" a="1"/>
  <c r="AP31" i="9" a="1"/>
  <c r="AA31" i="9" a="1"/>
  <c r="AZ32" i="9" a="1"/>
  <c r="CF30" i="9" a="1"/>
  <c r="S30" i="9" a="1"/>
  <c r="AO33" i="9" a="1"/>
  <c r="BH29" i="9" a="1"/>
  <c r="AL31" i="9" a="1"/>
  <c r="S31" i="9" a="1"/>
  <c r="AR32" i="9" a="1"/>
  <c r="CB30" i="9" a="1"/>
  <c r="K30" i="9" a="1"/>
  <c r="AG33" i="9" a="1"/>
  <c r="AI29" i="9" a="1"/>
  <c r="AH31" i="9" a="1"/>
  <c r="K31" i="9" a="1"/>
  <c r="AJ32" i="9" a="1"/>
  <c r="BX30" i="9" a="1"/>
  <c r="CO33" i="9" a="1"/>
  <c r="Y33" i="9" a="1"/>
  <c r="CO29" i="9" a="1"/>
  <c r="CG32" i="9" a="1"/>
  <c r="O31" i="9" a="1"/>
  <c r="BJ32" i="9" a="1"/>
  <c r="BY30" i="9" a="1"/>
  <c r="CQ30" i="9" a="1"/>
  <c r="S33" i="9" a="1"/>
  <c r="AX29" i="9" a="1"/>
  <c r="AM29" i="9" a="1"/>
  <c r="U31" i="9" a="1"/>
  <c r="BK32" i="9" a="1"/>
  <c r="BL32" i="9" a="1"/>
  <c r="CM30" i="9" a="1"/>
  <c r="T33" i="9" a="1"/>
  <c r="AL33" i="9" a="1"/>
  <c r="BI29" i="9" a="1"/>
  <c r="V31" i="9" a="1"/>
  <c r="BT31" i="9" a="1"/>
  <c r="BX32" i="9" a="1"/>
  <c r="E30" i="9" a="1"/>
  <c r="AQ30" i="9" a="1"/>
  <c r="BM33" i="9" a="1"/>
  <c r="AD29" i="9" a="1"/>
  <c r="AR33" i="9" a="1"/>
  <c r="BD30" i="9" a="1"/>
  <c r="AZ30" i="9" a="1"/>
  <c r="AV30" i="9" a="1"/>
  <c r="BE32" i="9" a="1"/>
  <c r="AR31" i="9" a="1"/>
  <c r="BS31" i="9" a="1"/>
  <c r="CC31" i="9" a="1"/>
  <c r="AS31" i="9" a="1"/>
  <c r="BC32" i="9" a="1"/>
  <c r="AV32" i="9" a="1"/>
  <c r="BV30" i="9" a="1"/>
  <c r="L33" i="9" a="1"/>
  <c r="J33" i="9" a="1"/>
  <c r="AT29" i="9" a="1"/>
  <c r="BU31" i="9" a="1"/>
  <c r="CE32" i="9" a="1"/>
  <c r="Q32" i="9" a="1"/>
  <c r="X30" i="9" a="1"/>
  <c r="AN33" i="9" a="1"/>
  <c r="AC33" i="9" a="1"/>
  <c r="H29" i="9" a="1"/>
  <c r="BQ31" i="9" a="1"/>
  <c r="CA32" i="9" a="1"/>
  <c r="I32" i="9" a="1"/>
  <c r="T30" i="9" a="1"/>
  <c r="AJ33" i="9" a="1"/>
  <c r="M33" i="9" a="1"/>
  <c r="CG29" i="9" a="1"/>
  <c r="BM31" i="9" a="1"/>
  <c r="BW32" i="9" a="1"/>
  <c r="CL32" i="9" a="1"/>
  <c r="P30" i="9" a="1"/>
  <c r="AF33" i="9" a="1"/>
  <c r="CI33" i="9" a="1"/>
  <c r="BR29" i="9" a="1"/>
  <c r="BI31" i="9" a="1"/>
  <c r="BS32" i="9" a="1"/>
  <c r="CB32" i="9" a="1"/>
  <c r="L30" i="9" a="1"/>
  <c r="AB33" i="9" a="1"/>
  <c r="BR33" i="9" a="1"/>
  <c r="BQ29" i="9" a="1"/>
  <c r="BJ31" i="9" a="1"/>
  <c r="BO31" i="9" a="1"/>
  <c r="CF32" i="9" a="1"/>
  <c r="M30" i="9" a="1"/>
  <c r="BG30" i="9" a="1"/>
  <c r="CC33" i="9" a="1"/>
  <c r="CR29" i="9" a="1"/>
  <c r="AR29" i="9" a="1"/>
  <c r="G31" i="9" a="1"/>
  <c r="CM32" i="9" a="1"/>
  <c r="U32" i="9" a="1"/>
  <c r="BC30" i="9" a="1"/>
  <c r="AU33" i="9" a="1"/>
  <c r="CN29" i="9" a="1"/>
  <c r="V29" i="9" a="1"/>
  <c r="AW31" i="9" a="1"/>
  <c r="CN32" i="9" a="1"/>
  <c r="AG32" i="9" a="1"/>
  <c r="AF30" i="9" a="1"/>
  <c r="AV33" i="9" a="1"/>
  <c r="BI33" i="9" a="1"/>
  <c r="I29" i="9" a="1"/>
  <c r="Q31" i="9" a="1"/>
  <c r="BD32" i="9" a="1"/>
  <c r="P33" i="9" a="1"/>
  <c r="BE29" i="9" a="1"/>
  <c r="BY31" i="9" a="1"/>
  <c r="AS33" i="9" a="1"/>
  <c r="CC32" i="9" a="1"/>
  <c r="AV31" i="9" a="1"/>
  <c r="AN31" i="9" a="1"/>
  <c r="CP31" i="9" a="1"/>
  <c r="CQ31" i="9" a="1"/>
  <c r="CP29" i="9" a="1"/>
  <c r="CA33" i="9" a="1"/>
  <c r="CB33" i="9" a="1"/>
  <c r="M31" i="9" a="1"/>
  <c r="W32" i="9" a="1"/>
  <c r="BQ32" i="9" a="1"/>
  <c r="J30" i="9" a="1"/>
  <c r="BS33" i="9" a="1"/>
  <c r="W29" i="9" a="1"/>
  <c r="CI29" i="9" a="1"/>
  <c r="AO31" i="9" a="1"/>
  <c r="AY32" i="9" a="1"/>
  <c r="AN32" i="9" a="1"/>
  <c r="BN30" i="9" a="1"/>
  <c r="H33" i="9" a="1"/>
  <c r="CH33" i="9" a="1"/>
  <c r="N29" i="9" a="1"/>
  <c r="AK31" i="9" a="1"/>
  <c r="AU32" i="9" a="1"/>
  <c r="AF32" i="9" a="1"/>
  <c r="BF30" i="9" a="1"/>
  <c r="CR33" i="9" a="1"/>
  <c r="BQ33" i="9" a="1"/>
  <c r="J29" i="9" a="1"/>
  <c r="AG31" i="9" a="1"/>
  <c r="AQ32" i="9" a="1"/>
  <c r="X32" i="9" a="1"/>
  <c r="AX30" i="9" a="1"/>
  <c r="CN33" i="9" a="1"/>
  <c r="BA33" i="9" a="1"/>
  <c r="BL29" i="9" a="1"/>
  <c r="AC31" i="9" a="1"/>
  <c r="AM32" i="9" a="1"/>
  <c r="P32" i="9" a="1"/>
  <c r="AP30" i="9" a="1"/>
  <c r="CJ33" i="9" a="1"/>
  <c r="AK33" i="9" a="1"/>
  <c r="F29" i="9" a="1"/>
  <c r="AD31" i="9" a="1"/>
  <c r="CK31" i="9" a="1"/>
  <c r="AB32" i="9" a="1"/>
  <c r="BT30" i="9" a="1"/>
  <c r="CK33" i="9" a="1"/>
  <c r="Q33" i="9" a="1"/>
  <c r="BT29" i="9" a="1"/>
  <c r="CM31" i="9" a="1"/>
  <c r="AJ31" i="9" a="1"/>
  <c r="BF32" i="9" a="1"/>
  <c r="BU30" i="9" a="1"/>
  <c r="CI30" i="9" a="1"/>
  <c r="O33" i="9" a="1"/>
  <c r="BW29" i="9" a="1"/>
  <c r="L29" i="9" a="1"/>
  <c r="BG32" i="9" a="1"/>
  <c r="CD30" i="9" a="1"/>
  <c r="V33" i="9" a="1"/>
  <c r="Y32" i="9" a="1"/>
  <c r="BD31" i="9" a="1"/>
  <c r="J31" i="9" a="1"/>
  <c r="F31" i="9" a="1"/>
  <c r="BM29" i="9" a="1"/>
  <c r="E33" i="9" a="1"/>
  <c r="BN33" i="9" a="1"/>
  <c r="Z30" i="9" a="1"/>
  <c r="L32" i="9" a="1"/>
  <c r="V33" i="9" l="1"/>
  <c r="BI33" i="9"/>
  <c r="BZ33" i="9"/>
  <c r="BM33" i="9"/>
  <c r="AX33" i="9"/>
  <c r="K33" i="9"/>
  <c r="AQ33" i="9"/>
  <c r="BW33" i="9"/>
  <c r="P33" i="9"/>
  <c r="AV33" i="9"/>
  <c r="CB33" i="9"/>
  <c r="AQ30" i="9"/>
  <c r="N30" i="9"/>
  <c r="BZ30" i="9"/>
  <c r="AU30" i="9"/>
  <c r="R30" i="9"/>
  <c r="CD30" i="9"/>
  <c r="AF30" i="9"/>
  <c r="BL30" i="9"/>
  <c r="E30" i="9"/>
  <c r="AK30" i="9"/>
  <c r="BQ30" i="9"/>
  <c r="M32" i="9"/>
  <c r="BY32" i="9"/>
  <c r="BD32" i="9"/>
  <c r="AG32" i="9"/>
  <c r="L32" i="9"/>
  <c r="BX32" i="9"/>
  <c r="V32" i="9"/>
  <c r="BB32" i="9"/>
  <c r="CI32" i="9"/>
  <c r="AA32" i="9"/>
  <c r="BG32" i="9"/>
  <c r="CN32" i="9"/>
  <c r="H31" i="9"/>
  <c r="BT31" i="9"/>
  <c r="AY31" i="9"/>
  <c r="AB31" i="9"/>
  <c r="CO31" i="9"/>
  <c r="BK31" i="9"/>
  <c r="Q31" i="9"/>
  <c r="AW31" i="9"/>
  <c r="CC31" i="9"/>
  <c r="V31" i="9"/>
  <c r="BB31" i="9"/>
  <c r="CI31" i="9"/>
  <c r="F33" i="9"/>
  <c r="AL33" i="9"/>
  <c r="BY33" i="9"/>
  <c r="I33" i="9"/>
  <c r="BU33" i="9"/>
  <c r="BF33" i="9"/>
  <c r="O33" i="9"/>
  <c r="AU33" i="9"/>
  <c r="CA33" i="9"/>
  <c r="T33" i="9"/>
  <c r="AZ33" i="9"/>
  <c r="CF33" i="9"/>
  <c r="AY30" i="9"/>
  <c r="V30" i="9"/>
  <c r="CI30" i="9"/>
  <c r="BC30" i="9"/>
  <c r="Z30" i="9"/>
  <c r="CM30" i="9"/>
  <c r="AJ30" i="9"/>
  <c r="BP30" i="9"/>
  <c r="I30" i="9"/>
  <c r="AO30" i="9"/>
  <c r="BU30" i="9"/>
  <c r="U32" i="9"/>
  <c r="CK32" i="9"/>
  <c r="BL32" i="9"/>
  <c r="AO32" i="9"/>
  <c r="T32" i="9"/>
  <c r="CH32" i="9"/>
  <c r="Z32" i="9"/>
  <c r="BF32" i="9"/>
  <c r="CM32" i="9"/>
  <c r="AE32" i="9"/>
  <c r="BK32" i="9"/>
  <c r="CR32" i="9"/>
  <c r="P31" i="9"/>
  <c r="CB31" i="9"/>
  <c r="BG31" i="9"/>
  <c r="AJ31" i="9"/>
  <c r="G31" i="9"/>
  <c r="BS31" i="9"/>
  <c r="U31" i="9"/>
  <c r="BA31" i="9"/>
  <c r="CH31" i="9"/>
  <c r="Z31" i="9"/>
  <c r="BF31" i="9"/>
  <c r="CM31" i="9"/>
  <c r="U33" i="9"/>
  <c r="BB33" i="9"/>
  <c r="CP33" i="9"/>
  <c r="Q33" i="9"/>
  <c r="CC33" i="9"/>
  <c r="BN33" i="9"/>
  <c r="S33" i="9"/>
  <c r="AY33" i="9"/>
  <c r="CE33" i="9"/>
  <c r="X33" i="9"/>
  <c r="BD33" i="9"/>
  <c r="CK33" i="9"/>
  <c r="BG30" i="9"/>
  <c r="AD30" i="9"/>
  <c r="CQ30" i="9"/>
  <c r="BK30" i="9"/>
  <c r="AH30" i="9"/>
  <c r="H30" i="9"/>
  <c r="AN30" i="9"/>
  <c r="BT30" i="9"/>
  <c r="M30" i="9"/>
  <c r="AS30" i="9"/>
  <c r="BY30" i="9"/>
  <c r="AC32" i="9"/>
  <c r="H32" i="9"/>
  <c r="BT32" i="9"/>
  <c r="AW32" i="9"/>
  <c r="AB32" i="9"/>
  <c r="CF32" i="9"/>
  <c r="AD32" i="9"/>
  <c r="BJ32" i="9"/>
  <c r="CQ32" i="9"/>
  <c r="AI32" i="9"/>
  <c r="BO32" i="9"/>
  <c r="X31" i="9"/>
  <c r="CK31" i="9"/>
  <c r="BO31" i="9"/>
  <c r="AR31" i="9"/>
  <c r="O31" i="9"/>
  <c r="CA31" i="9"/>
  <c r="Y31" i="9"/>
  <c r="BE31" i="9"/>
  <c r="CL31" i="9"/>
  <c r="AD31" i="9"/>
  <c r="BJ31" i="9"/>
  <c r="CQ31" i="9"/>
  <c r="CG32" i="9"/>
  <c r="DC15" i="19" s="1"/>
  <c r="AK33" i="9"/>
  <c r="BR33" i="9"/>
  <c r="E33" i="9"/>
  <c r="Y33" i="9"/>
  <c r="CL33" i="9"/>
  <c r="BV33" i="9"/>
  <c r="W33" i="9"/>
  <c r="BC33" i="9"/>
  <c r="CJ33" i="9"/>
  <c r="AB33" i="9"/>
  <c r="BH33" i="9"/>
  <c r="CO33" i="9"/>
  <c r="BO30" i="9"/>
  <c r="AL30" i="9"/>
  <c r="G30" i="9"/>
  <c r="BS30" i="9"/>
  <c r="AP30" i="9"/>
  <c r="L30" i="9"/>
  <c r="AR30" i="9"/>
  <c r="BX30" i="9"/>
  <c r="Q30" i="9"/>
  <c r="AW30" i="9"/>
  <c r="CC30" i="9"/>
  <c r="AK32" i="9"/>
  <c r="P32" i="9"/>
  <c r="CB32" i="9"/>
  <c r="BE32" i="9"/>
  <c r="AJ32" i="9"/>
  <c r="CO32" i="9"/>
  <c r="AH32" i="9"/>
  <c r="BN32" i="9"/>
  <c r="G32" i="9"/>
  <c r="AM32" i="9"/>
  <c r="BS32" i="9"/>
  <c r="AF31" i="9"/>
  <c r="K31" i="9"/>
  <c r="BW31" i="9"/>
  <c r="AZ31" i="9"/>
  <c r="W31" i="9"/>
  <c r="CJ31" i="9"/>
  <c r="AC31" i="9"/>
  <c r="BI31" i="9"/>
  <c r="CP31" i="9"/>
  <c r="AH31" i="9"/>
  <c r="BN31" i="9"/>
  <c r="BA33" i="9"/>
  <c r="CI33" i="9"/>
  <c r="N33" i="9"/>
  <c r="AG33" i="9"/>
  <c r="R33" i="9"/>
  <c r="CD33" i="9"/>
  <c r="AA33" i="9"/>
  <c r="BG33" i="9"/>
  <c r="CN33" i="9"/>
  <c r="AF33" i="9"/>
  <c r="BL33" i="9"/>
  <c r="K30" i="9"/>
  <c r="BW30" i="9"/>
  <c r="AT30" i="9"/>
  <c r="O30" i="9"/>
  <c r="CA30" i="9"/>
  <c r="AX30" i="9"/>
  <c r="P30" i="9"/>
  <c r="AV30" i="9"/>
  <c r="CB30" i="9"/>
  <c r="U30" i="9"/>
  <c r="BA30" i="9"/>
  <c r="CH30" i="9"/>
  <c r="AS32" i="9"/>
  <c r="X32" i="9"/>
  <c r="CL32" i="9"/>
  <c r="BM32" i="9"/>
  <c r="AR32" i="9"/>
  <c r="F32" i="9"/>
  <c r="AL32" i="9"/>
  <c r="BR32" i="9"/>
  <c r="K32" i="9"/>
  <c r="AQ32" i="9"/>
  <c r="BW32" i="9"/>
  <c r="AN31" i="9"/>
  <c r="S31" i="9"/>
  <c r="CE31" i="9"/>
  <c r="BH31" i="9"/>
  <c r="AE31" i="9"/>
  <c r="CR31" i="9"/>
  <c r="AG31" i="9"/>
  <c r="BM31" i="9"/>
  <c r="F31" i="9"/>
  <c r="AL31" i="9"/>
  <c r="BR31" i="9"/>
  <c r="BQ33" i="9"/>
  <c r="M33" i="9"/>
  <c r="AD33" i="9"/>
  <c r="AO33" i="9"/>
  <c r="Z33" i="9"/>
  <c r="CM33" i="9"/>
  <c r="AE33" i="9"/>
  <c r="BK33" i="9"/>
  <c r="CR33" i="9"/>
  <c r="AJ33" i="9"/>
  <c r="BP33" i="9"/>
  <c r="S30" i="9"/>
  <c r="CE30" i="9"/>
  <c r="BB30" i="9"/>
  <c r="W30" i="9"/>
  <c r="CJ30" i="9"/>
  <c r="BF30" i="9"/>
  <c r="T30" i="9"/>
  <c r="AZ30" i="9"/>
  <c r="CF30" i="9"/>
  <c r="Y30" i="9"/>
  <c r="BE30" i="9"/>
  <c r="CL30" i="9"/>
  <c r="BA32" i="9"/>
  <c r="AF32" i="9"/>
  <c r="I32" i="9"/>
  <c r="BU32" i="9"/>
  <c r="AZ32" i="9"/>
  <c r="J32" i="9"/>
  <c r="AP32" i="9"/>
  <c r="BV32" i="9"/>
  <c r="O32" i="9"/>
  <c r="AU32" i="9"/>
  <c r="CA32" i="9"/>
  <c r="AV31" i="9"/>
  <c r="AA31" i="9"/>
  <c r="CN31" i="9"/>
  <c r="BP31" i="9"/>
  <c r="AM31" i="9"/>
  <c r="E31" i="9"/>
  <c r="AK31" i="9"/>
  <c r="BQ31" i="9"/>
  <c r="J31" i="9"/>
  <c r="AP31" i="9"/>
  <c r="BV31" i="9"/>
  <c r="CH33" i="9"/>
  <c r="AC33" i="9"/>
  <c r="AT33" i="9"/>
  <c r="AW33" i="9"/>
  <c r="AH33" i="9"/>
  <c r="CQ33" i="9"/>
  <c r="AI33" i="9"/>
  <c r="BO33" i="9"/>
  <c r="H33" i="9"/>
  <c r="AN33" i="9"/>
  <c r="BT33" i="9"/>
  <c r="AA30" i="9"/>
  <c r="CN30" i="9"/>
  <c r="BJ30" i="9"/>
  <c r="AE30" i="9"/>
  <c r="CR30" i="9"/>
  <c r="BN30" i="9"/>
  <c r="X30" i="9"/>
  <c r="BD30" i="9"/>
  <c r="CK30" i="9"/>
  <c r="AC30" i="9"/>
  <c r="BI30" i="9"/>
  <c r="CP30" i="9"/>
  <c r="BI32" i="9"/>
  <c r="AN32" i="9"/>
  <c r="Q32" i="9"/>
  <c r="CC32" i="9"/>
  <c r="BH32" i="9"/>
  <c r="N32" i="9"/>
  <c r="AT32" i="9"/>
  <c r="BZ32" i="9"/>
  <c r="S32" i="9"/>
  <c r="AY32" i="9"/>
  <c r="CE32" i="9"/>
  <c r="BD31" i="9"/>
  <c r="AI31" i="9"/>
  <c r="L31" i="9"/>
  <c r="BX31" i="9"/>
  <c r="AU31" i="9"/>
  <c r="I31" i="9"/>
  <c r="AO31" i="9"/>
  <c r="BU31" i="9"/>
  <c r="N31" i="9"/>
  <c r="AT31" i="9"/>
  <c r="BZ31" i="9"/>
  <c r="CG33" i="9"/>
  <c r="DC16" i="19" s="1"/>
  <c r="J33" i="9"/>
  <c r="AS33" i="9"/>
  <c r="BJ33" i="9"/>
  <c r="BE33" i="9"/>
  <c r="AP33" i="9"/>
  <c r="G33" i="9"/>
  <c r="AM33" i="9"/>
  <c r="BS33" i="9"/>
  <c r="L33" i="9"/>
  <c r="AR33" i="9"/>
  <c r="BX33" i="9"/>
  <c r="AI30" i="9"/>
  <c r="F30" i="9"/>
  <c r="BR30" i="9"/>
  <c r="AM30" i="9"/>
  <c r="J30" i="9"/>
  <c r="BV30" i="9"/>
  <c r="AB30" i="9"/>
  <c r="BH30" i="9"/>
  <c r="CO30" i="9"/>
  <c r="AG30" i="9"/>
  <c r="BM30" i="9"/>
  <c r="E32" i="9"/>
  <c r="BQ32" i="9"/>
  <c r="AV32" i="9"/>
  <c r="Y32" i="9"/>
  <c r="CP32" i="9"/>
  <c r="BP32" i="9"/>
  <c r="R32" i="9"/>
  <c r="AX32" i="9"/>
  <c r="CD32" i="9"/>
  <c r="W32" i="9"/>
  <c r="BC32" i="9"/>
  <c r="CJ32" i="9"/>
  <c r="BL31" i="9"/>
  <c r="AQ31" i="9"/>
  <c r="T31" i="9"/>
  <c r="CF31" i="9"/>
  <c r="BC31" i="9"/>
  <c r="M31" i="9"/>
  <c r="AS31" i="9"/>
  <c r="BY31" i="9"/>
  <c r="R31" i="9"/>
  <c r="AX31" i="9"/>
  <c r="CD31" i="9"/>
  <c r="CG31" i="9"/>
  <c r="DC14" i="19" s="1"/>
  <c r="CG30" i="9"/>
  <c r="DC13" i="19" s="1"/>
  <c r="AO62" i="9"/>
  <c r="T62" i="9"/>
  <c r="AK62" i="9"/>
  <c r="AD62" i="9"/>
  <c r="S62" i="9"/>
  <c r="P62" i="9"/>
  <c r="AB62" i="9"/>
  <c r="AS62" i="9"/>
  <c r="AH62" i="9"/>
  <c r="W62" i="9"/>
  <c r="AF62" i="9"/>
  <c r="AJ62" i="9"/>
  <c r="F62" i="9"/>
  <c r="AL62" i="9"/>
  <c r="AA62" i="9"/>
  <c r="H62" i="9"/>
  <c r="AV62" i="9"/>
  <c r="AR62" i="9"/>
  <c r="J62" i="9"/>
  <c r="AP62" i="9"/>
  <c r="AE62" i="9"/>
  <c r="X62" i="9"/>
  <c r="Q62" i="9"/>
  <c r="E62" i="9"/>
  <c r="N62" i="9"/>
  <c r="AT62" i="9"/>
  <c r="AI62" i="9"/>
  <c r="AN62" i="9"/>
  <c r="AG62" i="9"/>
  <c r="M62" i="9"/>
  <c r="R62" i="9"/>
  <c r="G62" i="9"/>
  <c r="AM62" i="9"/>
  <c r="I62" i="9"/>
  <c r="AW62" i="9"/>
  <c r="U62" i="9"/>
  <c r="V62" i="9"/>
  <c r="K62" i="9"/>
  <c r="AQ62" i="9"/>
  <c r="Y62" i="9"/>
  <c r="L62" i="9"/>
  <c r="AC62" i="9"/>
  <c r="Z62" i="9"/>
  <c r="O62" i="9"/>
  <c r="AU62" i="9"/>
  <c r="CH29" i="9"/>
  <c r="AT29" i="9"/>
  <c r="Q29" i="9"/>
  <c r="CC29" i="9"/>
  <c r="BF29" i="9"/>
  <c r="AC29" i="9"/>
  <c r="CP29" i="9"/>
  <c r="AI29" i="9"/>
  <c r="BO29" i="9"/>
  <c r="H29" i="9"/>
  <c r="AN29" i="9"/>
  <c r="BT29" i="9"/>
  <c r="CG29" i="9"/>
  <c r="DC12" i="19" s="1"/>
  <c r="BB29" i="9"/>
  <c r="Y29" i="9"/>
  <c r="CL29" i="9"/>
  <c r="BN29" i="9"/>
  <c r="AK29" i="9"/>
  <c r="G29" i="9"/>
  <c r="AM29" i="9"/>
  <c r="BS29" i="9"/>
  <c r="L29" i="9"/>
  <c r="AR29" i="9"/>
  <c r="BX29" i="9"/>
  <c r="BK29" i="9"/>
  <c r="BJ29" i="9"/>
  <c r="AG29" i="9"/>
  <c r="J29" i="9"/>
  <c r="BV29" i="9"/>
  <c r="AS29" i="9"/>
  <c r="K29" i="9"/>
  <c r="AQ29" i="9"/>
  <c r="BW29" i="9"/>
  <c r="P29" i="9"/>
  <c r="AV29" i="9"/>
  <c r="CB29" i="9"/>
  <c r="BU29" i="9"/>
  <c r="CR29" i="9"/>
  <c r="F29" i="9"/>
  <c r="BR29" i="9"/>
  <c r="AO29" i="9"/>
  <c r="R29" i="9"/>
  <c r="CD29" i="9"/>
  <c r="BA29" i="9"/>
  <c r="O29" i="9"/>
  <c r="AU29" i="9"/>
  <c r="CA29" i="9"/>
  <c r="T29" i="9"/>
  <c r="AZ29" i="9"/>
  <c r="CF29" i="9"/>
  <c r="AX29" i="9"/>
  <c r="BP29" i="9"/>
  <c r="N29" i="9"/>
  <c r="BZ29" i="9"/>
  <c r="AW29" i="9"/>
  <c r="Z29" i="9"/>
  <c r="CM29" i="9"/>
  <c r="BI29" i="9"/>
  <c r="S29" i="9"/>
  <c r="AY29" i="9"/>
  <c r="CE29" i="9"/>
  <c r="X29" i="9"/>
  <c r="BD29" i="9"/>
  <c r="CK29" i="9"/>
  <c r="AL29" i="9"/>
  <c r="U29" i="9"/>
  <c r="AJ29" i="9"/>
  <c r="V29" i="9"/>
  <c r="CI29" i="9"/>
  <c r="BE29" i="9"/>
  <c r="AH29" i="9"/>
  <c r="E29" i="9"/>
  <c r="BQ29" i="9"/>
  <c r="W29" i="9"/>
  <c r="BC29" i="9"/>
  <c r="CJ29" i="9"/>
  <c r="AB29" i="9"/>
  <c r="BH29" i="9"/>
  <c r="CO29" i="9"/>
  <c r="I29" i="9"/>
  <c r="AE29" i="9"/>
  <c r="AD29" i="9"/>
  <c r="CQ29" i="9"/>
  <c r="BM29" i="9"/>
  <c r="AP29" i="9"/>
  <c r="M29" i="9"/>
  <c r="BY29" i="9"/>
  <c r="AA29" i="9"/>
  <c r="BG29" i="9"/>
  <c r="CN29" i="9"/>
  <c r="AF29" i="9"/>
  <c r="BL29"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CQ28" i="9" a="1"/>
  <c r="BD28" i="9" a="1"/>
  <c r="AR28" i="9" a="1"/>
  <c r="M28" i="9" a="1"/>
  <c r="BM28" i="9" a="1"/>
  <c r="CO28" i="9" a="1"/>
  <c r="CB28" i="9" a="1"/>
  <c r="CD28" i="9" a="1"/>
  <c r="AF28" i="9" a="1"/>
  <c r="CC28" i="9" a="1"/>
  <c r="BF28" i="9" a="1"/>
  <c r="O28" i="9" a="1"/>
  <c r="AE27" i="9" a="1"/>
  <c r="Z27" i="9" a="1"/>
  <c r="BD27" i="9" a="1"/>
  <c r="CO27" i="9" a="1"/>
  <c r="AI27" i="9" a="1"/>
  <c r="N27" i="9" a="1"/>
  <c r="AF27" i="9" a="1"/>
  <c r="V27" i="9" a="1"/>
  <c r="I27" i="9" a="1"/>
  <c r="AW27" i="9" a="1"/>
  <c r="H27" i="9" a="1"/>
  <c r="T27" i="9" a="1"/>
  <c r="BM27" i="9" a="1"/>
  <c r="AE28" i="9" a="1"/>
  <c r="AJ28" i="9" a="1"/>
  <c r="P28" i="9" a="1"/>
  <c r="BG28" i="9" a="1"/>
  <c r="AL28" i="9" a="1"/>
  <c r="BQ28" i="9" a="1"/>
  <c r="AZ28" i="9" a="1"/>
  <c r="BB28" i="9" a="1"/>
  <c r="Q28" i="9" a="1"/>
  <c r="BH28" i="9" a="1"/>
  <c r="BY28" i="9" a="1"/>
  <c r="BR28" i="9" a="1"/>
  <c r="AU27" i="9" a="1"/>
  <c r="AT27" i="9" a="1"/>
  <c r="BH27" i="9" a="1"/>
  <c r="R27" i="9" a="1"/>
  <c r="W27" i="9" a="1"/>
  <c r="CP27" i="9" a="1"/>
  <c r="AV27" i="9" a="1"/>
  <c r="AL27" i="9" a="1"/>
  <c r="P27" i="9" a="1"/>
  <c r="BX27" i="9" a="1"/>
  <c r="CG27" i="9" a="1"/>
  <c r="S27" i="9" a="1"/>
  <c r="BS28" i="9" a="1"/>
  <c r="T28" i="9" a="1"/>
  <c r="BK28" i="9" a="1"/>
  <c r="Z28" i="9" a="1"/>
  <c r="CR28" i="9" a="1"/>
  <c r="CL28" i="9" a="1"/>
  <c r="BW28" i="9" a="1"/>
  <c r="BO28" i="9" a="1"/>
  <c r="BU28" i="9" a="1"/>
  <c r="AO28" i="9" a="1"/>
  <c r="CF28" i="9" a="1"/>
  <c r="AY28" i="9" a="1"/>
  <c r="CD27" i="9" a="1"/>
  <c r="BY27" i="9" a="1"/>
  <c r="BB27" i="9" a="1"/>
  <c r="BS27" i="9" a="1"/>
  <c r="CR27" i="9" a="1"/>
  <c r="CC27" i="9" a="1"/>
  <c r="CF27" i="9" a="1"/>
  <c r="AN27" i="9" a="1"/>
  <c r="BR27" i="9" a="1"/>
  <c r="E27" i="9" a="1"/>
  <c r="BV27" i="9" a="1"/>
  <c r="BO27" i="9" a="1"/>
  <c r="BJ28" i="9" a="1"/>
  <c r="L28" i="9" a="1"/>
  <c r="AM28" i="9" a="1"/>
  <c r="U28" i="9" a="1"/>
  <c r="AG28" i="9" a="1"/>
  <c r="K28" i="9" a="1"/>
  <c r="H28" i="9" a="1"/>
  <c r="AS28" i="9" a="1"/>
  <c r="BI28" i="9" a="1"/>
  <c r="AK28" i="9" a="1"/>
  <c r="Y28" i="9" a="1"/>
  <c r="BX28" i="9" a="1"/>
  <c r="F27" i="9" a="1"/>
  <c r="BF27" i="9" a="1"/>
  <c r="U27" i="9" a="1"/>
  <c r="AR27" i="9" a="1"/>
  <c r="AX27" i="9" a="1"/>
  <c r="CK27" i="9" a="1"/>
  <c r="BL27" i="9" a="1"/>
  <c r="CI27" i="9" a="1"/>
  <c r="CH27" i="9" a="1"/>
  <c r="BI27" i="9" a="1"/>
  <c r="BK27" i="9" a="1"/>
  <c r="AP27" i="9" a="1"/>
  <c r="G28" i="9" a="1"/>
  <c r="AT28" i="9" a="1"/>
  <c r="BP28" i="9" a="1"/>
  <c r="AU28" i="9" a="1"/>
  <c r="CI28" i="9" a="1"/>
  <c r="CE28" i="9" a="1"/>
  <c r="AC28" i="9" a="1"/>
  <c r="BA28" i="9" a="1"/>
  <c r="N28" i="9" a="1"/>
  <c r="AA28" i="9" a="1"/>
  <c r="BL28" i="9" a="1"/>
  <c r="L27" i="9" a="1"/>
  <c r="BG27" i="9" a="1"/>
  <c r="CJ27" i="9" a="1"/>
  <c r="CQ27" i="9" a="1"/>
  <c r="K27" i="9" a="1"/>
  <c r="CA27" i="9" a="1"/>
  <c r="BW27" i="9" a="1"/>
  <c r="BT27" i="9" a="1"/>
  <c r="AS27" i="9" a="1"/>
  <c r="S28" i="9" a="1"/>
  <c r="W28" i="9" a="1"/>
  <c r="X28" i="9" a="1"/>
  <c r="AX28" i="9" a="1"/>
  <c r="AI28" i="9" a="1"/>
  <c r="CA28" i="9" a="1"/>
  <c r="BZ28" i="9" a="1"/>
  <c r="AP28" i="9" a="1"/>
  <c r="CK28" i="9" a="1"/>
  <c r="CM28" i="9" a="1"/>
  <c r="BE28" i="9" a="1"/>
  <c r="BA27" i="9" a="1"/>
  <c r="G27" i="9" a="1"/>
  <c r="BP27" i="9" a="1"/>
  <c r="CB27" i="9" a="1"/>
  <c r="AG27" i="9" a="1"/>
  <c r="J27" i="9" a="1"/>
  <c r="BU27" i="9" a="1"/>
  <c r="AJ27" i="9" a="1"/>
  <c r="AO27" i="9" a="1"/>
  <c r="AA27" i="9" a="1"/>
  <c r="CJ28" i="9" a="1"/>
  <c r="CN28" i="9" a="1"/>
  <c r="J28" i="9" a="1"/>
  <c r="CG28" i="9" a="1"/>
  <c r="AN28" i="9" a="1"/>
  <c r="E28" i="9" a="1"/>
  <c r="V28" i="9" a="1"/>
  <c r="AH28" i="9" a="1"/>
  <c r="BC28" i="9" a="1"/>
  <c r="R28" i="9" a="1"/>
  <c r="AD28" i="9" a="1"/>
  <c r="CL27" i="9" a="1"/>
  <c r="AC27" i="9" a="1"/>
  <c r="AZ27" i="9" a="1"/>
  <c r="AK27" i="9" a="1"/>
  <c r="AY27" i="9" a="1"/>
  <c r="BJ27" i="9" a="1"/>
  <c r="Y27" i="9" a="1"/>
  <c r="AB27" i="9" a="1"/>
  <c r="BN27" i="9" a="1"/>
  <c r="O27" i="9" a="1"/>
  <c r="BC27" i="9" a="1"/>
  <c r="BE27" i="9" a="1"/>
  <c r="F28" i="9" a="1"/>
  <c r="AW28" i="9" a="1"/>
  <c r="AQ28" i="9" a="1"/>
  <c r="I28" i="9" a="1"/>
  <c r="CH28" i="9" a="1"/>
  <c r="AV28" i="9" a="1"/>
  <c r="BV28" i="9" a="1"/>
  <c r="BN28" i="9" a="1"/>
  <c r="BT28" i="9" a="1"/>
  <c r="CP28" i="9" a="1"/>
  <c r="AB28" i="9" a="1"/>
  <c r="BZ27" i="9" a="1"/>
  <c r="AM27" i="9" a="1"/>
  <c r="Q27" i="9" a="1"/>
  <c r="X27" i="9" a="1"/>
  <c r="CM27" i="9" a="1"/>
  <c r="BQ27" i="9" a="1"/>
  <c r="AQ27" i="9" a="1"/>
  <c r="AH27" i="9" a="1"/>
  <c r="M27" i="9" a="1"/>
  <c r="AD27" i="9" a="1"/>
  <c r="CE27" i="9" a="1"/>
  <c r="CN27" i="9" a="1"/>
  <c r="BE28" i="9" l="1"/>
  <c r="CA11" i="19" s="1"/>
  <c r="V28" i="9"/>
  <c r="AR11" i="19" s="1"/>
  <c r="BD27" i="9"/>
  <c r="BZ10" i="19" s="1"/>
  <c r="BS27" i="9"/>
  <c r="CO10" i="19" s="1"/>
  <c r="AQ27" i="9"/>
  <c r="BM10" i="19" s="1"/>
  <c r="AR27" i="9"/>
  <c r="BN10" i="19" s="1"/>
  <c r="AN27" i="9"/>
  <c r="BJ10" i="19" s="1"/>
  <c r="BN27" i="9"/>
  <c r="CJ10" i="19" s="1"/>
  <c r="BK27" i="9"/>
  <c r="CG10" i="19" s="1"/>
  <c r="BF27" i="9"/>
  <c r="CB10" i="19" s="1"/>
  <c r="F28" i="9"/>
  <c r="BN28" i="9"/>
  <c r="H27" i="9"/>
  <c r="AD10" i="19" s="1"/>
  <c r="AD27" i="9"/>
  <c r="AZ10" i="19" s="1"/>
  <c r="CL27" i="9"/>
  <c r="AV27" i="9"/>
  <c r="BR10" i="19" s="1"/>
  <c r="X27" i="9"/>
  <c r="AT10" i="19" s="1"/>
  <c r="BK28" i="9"/>
  <c r="CG11" i="19" s="1"/>
  <c r="AF28" i="9"/>
  <c r="BB11" i="19" s="1"/>
  <c r="BX27" i="9"/>
  <c r="CT10" i="19" s="1"/>
  <c r="F27" i="9"/>
  <c r="AB10" i="19" s="1"/>
  <c r="AP28" i="9"/>
  <c r="BL11" i="19" s="1"/>
  <c r="BG28" i="9"/>
  <c r="CC11" i="19" s="1"/>
  <c r="AY28" i="9"/>
  <c r="BU11" i="19" s="1"/>
  <c r="V27" i="9"/>
  <c r="AR10" i="19" s="1"/>
  <c r="CB28" i="9"/>
  <c r="CX11" i="19" s="1"/>
  <c r="P28" i="9"/>
  <c r="AL11" i="19" s="1"/>
  <c r="CD28" i="9"/>
  <c r="CZ11" i="19" s="1"/>
  <c r="BY27" i="9"/>
  <c r="CU10" i="19" s="1"/>
  <c r="AS28" i="9"/>
  <c r="BO11" i="19" s="1"/>
  <c r="I28" i="9"/>
  <c r="AE11" i="19" s="1"/>
  <c r="AC28" i="9"/>
  <c r="AY11" i="19" s="1"/>
  <c r="T27" i="9"/>
  <c r="AP10" i="19" s="1"/>
  <c r="CG27" i="9"/>
  <c r="DC10" i="19" s="1"/>
  <c r="BP28" i="9"/>
  <c r="CL11" i="19" s="1"/>
  <c r="AK28" i="9"/>
  <c r="BG11" i="19" s="1"/>
  <c r="M28" i="9"/>
  <c r="AI11" i="19" s="1"/>
  <c r="G27" i="9"/>
  <c r="AC10" i="19" s="1"/>
  <c r="E27" i="9"/>
  <c r="AA10" i="19" s="1"/>
  <c r="CR28" i="9"/>
  <c r="DN11" i="19" s="1"/>
  <c r="R27" i="9"/>
  <c r="AN10" i="19" s="1"/>
  <c r="R28" i="9"/>
  <c r="AN11" i="19" s="1"/>
  <c r="AU27" i="9"/>
  <c r="BQ10" i="19" s="1"/>
  <c r="CE28" i="9"/>
  <c r="DA11" i="19" s="1"/>
  <c r="S27" i="9"/>
  <c r="AO10" i="19" s="1"/>
  <c r="BI27" i="9"/>
  <c r="CE10" i="19" s="1"/>
  <c r="AC27" i="9"/>
  <c r="AY10" i="19" s="1"/>
  <c r="CP27" i="9"/>
  <c r="DL10" i="19" s="1"/>
  <c r="O28" i="9"/>
  <c r="AK11" i="19" s="1"/>
  <c r="CN28" i="9"/>
  <c r="DJ11" i="19" s="1"/>
  <c r="I27" i="9"/>
  <c r="AE10" i="19" s="1"/>
  <c r="AJ27" i="9"/>
  <c r="BF10" i="19" s="1"/>
  <c r="H28" i="9"/>
  <c r="AD11" i="19" s="1"/>
  <c r="BT28" i="9"/>
  <c r="CP11" i="19" s="1"/>
  <c r="CF28" i="9"/>
  <c r="DB11" i="19" s="1"/>
  <c r="CH28" i="9"/>
  <c r="DD11" i="19" s="1"/>
  <c r="AP27" i="9"/>
  <c r="BL10" i="19" s="1"/>
  <c r="AM28" i="9"/>
  <c r="BI11" i="19" s="1"/>
  <c r="BU28" i="9"/>
  <c r="CQ11" i="19" s="1"/>
  <c r="AZ27" i="9"/>
  <c r="BV10" i="19" s="1"/>
  <c r="W27" i="9"/>
  <c r="AS10" i="19" s="1"/>
  <c r="CF27" i="9"/>
  <c r="DB10" i="19" s="1"/>
  <c r="AW27" i="9"/>
  <c r="BS10" i="19" s="1"/>
  <c r="BI28" i="9"/>
  <c r="CE11" i="19" s="1"/>
  <c r="J28" i="9"/>
  <c r="AF11" i="19" s="1"/>
  <c r="AL27" i="9"/>
  <c r="BH10" i="19" s="1"/>
  <c r="AA28" i="9"/>
  <c r="AW11" i="19" s="1"/>
  <c r="AB28" i="9"/>
  <c r="AX11" i="19" s="1"/>
  <c r="T28" i="9"/>
  <c r="AP11" i="19" s="1"/>
  <c r="K27" i="9"/>
  <c r="AG10" i="19" s="1"/>
  <c r="BW27" i="9"/>
  <c r="CS10" i="19" s="1"/>
  <c r="CI28" i="9"/>
  <c r="DE11" i="19" s="1"/>
  <c r="CJ28" i="9"/>
  <c r="DF11" i="19" s="1"/>
  <c r="K28" i="9"/>
  <c r="AG11" i="19" s="1"/>
  <c r="L28" i="9"/>
  <c r="AH11" i="19" s="1"/>
  <c r="AK27" i="9"/>
  <c r="BG10" i="19" s="1"/>
  <c r="AS27" i="9"/>
  <c r="BO10" i="19" s="1"/>
  <c r="AG27" i="9"/>
  <c r="BC10" i="19" s="1"/>
  <c r="Z28" i="9"/>
  <c r="AV11" i="19" s="1"/>
  <c r="J27" i="9"/>
  <c r="AF10" i="19" s="1"/>
  <c r="BJ28" i="9"/>
  <c r="CF11" i="19" s="1"/>
  <c r="BZ28" i="9"/>
  <c r="CV11" i="19" s="1"/>
  <c r="BZ27" i="9"/>
  <c r="CV10" i="19" s="1"/>
  <c r="AU28" i="9"/>
  <c r="BQ11" i="19" s="1"/>
  <c r="CN27" i="9"/>
  <c r="DJ10" i="19" s="1"/>
  <c r="AL28" i="9"/>
  <c r="BH11" i="19" s="1"/>
  <c r="AA27" i="9"/>
  <c r="AW10" i="19" s="1"/>
  <c r="BL27" i="9"/>
  <c r="CH10" i="19" s="1"/>
  <c r="AE28" i="9"/>
  <c r="BA11" i="19" s="1"/>
  <c r="CI27" i="9"/>
  <c r="DE10" i="19" s="1"/>
  <c r="AY27" i="9"/>
  <c r="BU10" i="19" s="1"/>
  <c r="BY28" i="9"/>
  <c r="CU11" i="19" s="1"/>
  <c r="O27" i="9"/>
  <c r="AK10" i="19" s="1"/>
  <c r="BO27" i="9"/>
  <c r="CK10" i="19" s="1"/>
  <c r="X28" i="9"/>
  <c r="AT11" i="19" s="1"/>
  <c r="AR28" i="9"/>
  <c r="BN11" i="19" s="1"/>
  <c r="BR28" i="9"/>
  <c r="CN11" i="19" s="1"/>
  <c r="CK28" i="9"/>
  <c r="DG11" i="19" s="1"/>
  <c r="BX28" i="9"/>
  <c r="CT11" i="19" s="1"/>
  <c r="U27" i="9"/>
  <c r="AQ10" i="19" s="1"/>
  <c r="E28" i="9"/>
  <c r="AA11" i="19" s="1"/>
  <c r="BV28" i="9"/>
  <c r="CR11" i="19" s="1"/>
  <c r="BC28" i="9"/>
  <c r="BY11" i="19" s="1"/>
  <c r="BU27" i="9"/>
  <c r="CQ10" i="19" s="1"/>
  <c r="BP27" i="9"/>
  <c r="CL10" i="19" s="1"/>
  <c r="CM27" i="9"/>
  <c r="DI10" i="19" s="1"/>
  <c r="Y28" i="9"/>
  <c r="AU11" i="19" s="1"/>
  <c r="AX28" i="9"/>
  <c r="BT11" i="19" s="1"/>
  <c r="AB27" i="9"/>
  <c r="AX10" i="19" s="1"/>
  <c r="Q27" i="9"/>
  <c r="AM10" i="19" s="1"/>
  <c r="CA27" i="9"/>
  <c r="CW10" i="19" s="1"/>
  <c r="AT28" i="9"/>
  <c r="BP11" i="19" s="1"/>
  <c r="BJ27" i="9"/>
  <c r="CF10" i="19" s="1"/>
  <c r="CD27" i="9"/>
  <c r="CZ10" i="19" s="1"/>
  <c r="CO28" i="9"/>
  <c r="DK11" i="19" s="1"/>
  <c r="BM27" i="9"/>
  <c r="CI10" i="19" s="1"/>
  <c r="BQ27" i="9"/>
  <c r="CM10" i="19" s="1"/>
  <c r="AG28" i="9"/>
  <c r="BC11" i="19" s="1"/>
  <c r="BO28" i="9"/>
  <c r="CK11" i="19" s="1"/>
  <c r="CH27" i="9"/>
  <c r="DD10" i="19" s="1"/>
  <c r="CA28" i="9"/>
  <c r="CW11" i="19" s="1"/>
  <c r="AD28" i="9"/>
  <c r="AZ11" i="19" s="1"/>
  <c r="S28" i="9"/>
  <c r="AO11" i="19" s="1"/>
  <c r="AM27" i="9"/>
  <c r="BI10" i="19" s="1"/>
  <c r="BT27" i="9"/>
  <c r="CP10" i="19" s="1"/>
  <c r="BC27" i="9"/>
  <c r="BY10" i="19" s="1"/>
  <c r="AH28" i="9"/>
  <c r="BD11" i="19" s="1"/>
  <c r="CO27" i="9"/>
  <c r="DK10" i="19" s="1"/>
  <c r="CG28" i="9"/>
  <c r="DC11" i="19" s="1"/>
  <c r="AQ28" i="9"/>
  <c r="BM11" i="19" s="1"/>
  <c r="U28" i="9"/>
  <c r="AQ11" i="19" s="1"/>
  <c r="BB28" i="9"/>
  <c r="BX11" i="19" s="1"/>
  <c r="BE27" i="9"/>
  <c r="CA10" i="19" s="1"/>
  <c r="L27" i="9"/>
  <c r="AH10" i="19" s="1"/>
  <c r="P27" i="9"/>
  <c r="AL10" i="19" s="1"/>
  <c r="CL28" i="9"/>
  <c r="DH11" i="19" s="1"/>
  <c r="CQ28" i="9"/>
  <c r="BR27" i="9"/>
  <c r="CN10" i="19" s="1"/>
  <c r="N27" i="9"/>
  <c r="AJ10" i="19" s="1"/>
  <c r="BB27" i="9"/>
  <c r="BX10" i="19" s="1"/>
  <c r="BL28" i="9"/>
  <c r="CH11" i="19" s="1"/>
  <c r="Z27" i="9"/>
  <c r="AV10" i="19" s="1"/>
  <c r="CJ27" i="9"/>
  <c r="DF10" i="19" s="1"/>
  <c r="AE27" i="9"/>
  <c r="BA10" i="19" s="1"/>
  <c r="CK27" i="9"/>
  <c r="DG10" i="19" s="1"/>
  <c r="BH27" i="9"/>
  <c r="CD10" i="19" s="1"/>
  <c r="CE27" i="9"/>
  <c r="DA10" i="19" s="1"/>
  <c r="AI28" i="9"/>
  <c r="BE11" i="19" s="1"/>
  <c r="AN28" i="9"/>
  <c r="BJ11" i="19" s="1"/>
  <c r="Y27" i="9"/>
  <c r="AU10" i="19" s="1"/>
  <c r="AV28" i="9"/>
  <c r="BR11" i="19" s="1"/>
  <c r="BA28" i="9"/>
  <c r="BW11" i="19" s="1"/>
  <c r="BQ28" i="9"/>
  <c r="CM11" i="19" s="1"/>
  <c r="AH27" i="9"/>
  <c r="BD10" i="19" s="1"/>
  <c r="AW28" i="9"/>
  <c r="BS11" i="19" s="1"/>
  <c r="AF27" i="9"/>
  <c r="BB10" i="19" s="1"/>
  <c r="CM28" i="9"/>
  <c r="DI11" i="19" s="1"/>
  <c r="CP28" i="9"/>
  <c r="DL11" i="19" s="1"/>
  <c r="AZ28" i="9"/>
  <c r="BV11" i="19" s="1"/>
  <c r="CC28" i="9"/>
  <c r="CY11" i="19" s="1"/>
  <c r="W28" i="9"/>
  <c r="AS11" i="19" s="1"/>
  <c r="AJ28" i="9"/>
  <c r="BF11" i="19" s="1"/>
  <c r="AO27" i="9"/>
  <c r="BK10" i="19" s="1"/>
  <c r="BF28" i="9"/>
  <c r="CB11" i="19" s="1"/>
  <c r="BM28" i="9"/>
  <c r="CI11" i="19" s="1"/>
  <c r="AI27" i="9"/>
  <c r="BE10" i="19" s="1"/>
  <c r="G28" i="9"/>
  <c r="AC11" i="19" s="1"/>
  <c r="BD28" i="9"/>
  <c r="BZ11" i="19" s="1"/>
  <c r="BH28" i="9"/>
  <c r="CD11" i="19" s="1"/>
  <c r="BS28" i="9"/>
  <c r="CO11" i="19" s="1"/>
  <c r="CQ27" i="9"/>
  <c r="DM10" i="19" s="1"/>
  <c r="BG27" i="9"/>
  <c r="CC10" i="19" s="1"/>
  <c r="CR27" i="9"/>
  <c r="DN10" i="19" s="1"/>
  <c r="CB27" i="9"/>
  <c r="CX10" i="19" s="1"/>
  <c r="AX27" i="9"/>
  <c r="BT10" i="19" s="1"/>
  <c r="BW28" i="9"/>
  <c r="CS11" i="19" s="1"/>
  <c r="BV27" i="9"/>
  <c r="CR10" i="19" s="1"/>
  <c r="CC27" i="9"/>
  <c r="CY10" i="19" s="1"/>
  <c r="M27" i="9"/>
  <c r="AI10" i="19" s="1"/>
  <c r="AT27" i="9"/>
  <c r="BP10" i="19" s="1"/>
  <c r="AO28" i="9"/>
  <c r="BK11" i="19" s="1"/>
  <c r="Q28" i="9"/>
  <c r="AM11" i="19" s="1"/>
  <c r="BA27" i="9"/>
  <c r="BW10" i="19" s="1"/>
  <c r="N28" i="9"/>
  <c r="AJ11" i="19" s="1"/>
  <c r="AW95" i="9"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36" i="19"/>
  <c r="DA36" i="19"/>
  <c r="CS32" i="19"/>
  <c r="DA32" i="19"/>
  <c r="CS28" i="19"/>
  <c r="DA28" i="19"/>
  <c r="CS24" i="19"/>
  <c r="DA24" i="19"/>
  <c r="CS20" i="19"/>
  <c r="DA20" i="19"/>
  <c r="CS16" i="19"/>
  <c r="DA16" i="19"/>
  <c r="CS12" i="19"/>
  <c r="DA12" i="19"/>
  <c r="CS35" i="19"/>
  <c r="DA35" i="19"/>
  <c r="CS31" i="19"/>
  <c r="DA31" i="19"/>
  <c r="CS27" i="19"/>
  <c r="DA27" i="19"/>
  <c r="CS23" i="19"/>
  <c r="DA23" i="19"/>
  <c r="CS19" i="19"/>
  <c r="DA19" i="19"/>
  <c r="CS15" i="19"/>
  <c r="DA15" i="19"/>
  <c r="CS34" i="19"/>
  <c r="DA34" i="19"/>
  <c r="CS30" i="19"/>
  <c r="DA30" i="19"/>
  <c r="CS26" i="19"/>
  <c r="DA26" i="19"/>
  <c r="CS22" i="19"/>
  <c r="DA22" i="19"/>
  <c r="CS18" i="19"/>
  <c r="DA18" i="19"/>
  <c r="CS14" i="19"/>
  <c r="DA14" i="19"/>
  <c r="CQ37" i="19"/>
  <c r="CT37" i="19"/>
  <c r="CQ33" i="19"/>
  <c r="CT33" i="19"/>
  <c r="CQ29" i="19"/>
  <c r="CT29" i="19"/>
  <c r="CQ25" i="19"/>
  <c r="CT25" i="19"/>
  <c r="CQ21" i="19"/>
  <c r="CT21" i="19"/>
  <c r="CQ17" i="19"/>
  <c r="CT17" i="19"/>
  <c r="CQ13" i="19"/>
  <c r="CT13" i="19"/>
  <c r="CQ36" i="19"/>
  <c r="CT36" i="19"/>
  <c r="CQ32" i="19"/>
  <c r="CT32" i="19"/>
  <c r="CQ28" i="19"/>
  <c r="CT28" i="19"/>
  <c r="CQ24" i="19"/>
  <c r="CT24" i="19"/>
  <c r="CQ20" i="19"/>
  <c r="CT20" i="19"/>
  <c r="CQ16" i="19"/>
  <c r="CT16" i="19"/>
  <c r="CQ12" i="19"/>
  <c r="CT12" i="19"/>
  <c r="CQ35" i="19"/>
  <c r="CT35" i="19"/>
  <c r="CQ31" i="19"/>
  <c r="CT31" i="19"/>
  <c r="CQ27" i="19"/>
  <c r="CT27" i="19"/>
  <c r="CQ23" i="19"/>
  <c r="CT23" i="19"/>
  <c r="CQ19" i="19"/>
  <c r="CT19" i="19"/>
  <c r="CQ15" i="19"/>
  <c r="CT15" i="19"/>
  <c r="CQ34" i="19"/>
  <c r="CT34" i="19"/>
  <c r="CQ30" i="19"/>
  <c r="CT30" i="19"/>
  <c r="CQ26" i="19"/>
  <c r="CT26" i="19"/>
  <c r="CQ22" i="19"/>
  <c r="CT22" i="19"/>
  <c r="CQ18" i="19"/>
  <c r="CT18" i="19"/>
  <c r="CQ14" i="19"/>
  <c r="CT14" i="19"/>
  <c r="CE37" i="19"/>
  <c r="CI37" i="19"/>
  <c r="CE33" i="19"/>
  <c r="CI33" i="19"/>
  <c r="CE29" i="19"/>
  <c r="CI29" i="19"/>
  <c r="CE25" i="19"/>
  <c r="CI25" i="19"/>
  <c r="CE21" i="19"/>
  <c r="CI21" i="19"/>
  <c r="CE17" i="19"/>
  <c r="CI17" i="19"/>
  <c r="CE13" i="19"/>
  <c r="CI13" i="19"/>
  <c r="CE36" i="19"/>
  <c r="CI36" i="19"/>
  <c r="CE32" i="19"/>
  <c r="CI32" i="19"/>
  <c r="CE28" i="19"/>
  <c r="CI28" i="19"/>
  <c r="CE24" i="19"/>
  <c r="CI24" i="19"/>
  <c r="CE20" i="19"/>
  <c r="CI20" i="19"/>
  <c r="CE16" i="19"/>
  <c r="CI16" i="19"/>
  <c r="CE12" i="19"/>
  <c r="CI12" i="19"/>
  <c r="CE35" i="19"/>
  <c r="CI35" i="19"/>
  <c r="CE31" i="19"/>
  <c r="CI31" i="19"/>
  <c r="CE27" i="19"/>
  <c r="CI27" i="19"/>
  <c r="CE23" i="19"/>
  <c r="CI23" i="19"/>
  <c r="CE19" i="19"/>
  <c r="CI19" i="19"/>
  <c r="CE15" i="19"/>
  <c r="CI15" i="19"/>
  <c r="CE34" i="19"/>
  <c r="CI34" i="19"/>
  <c r="CE30" i="19"/>
  <c r="CI30" i="19"/>
  <c r="CE26" i="19"/>
  <c r="CI26" i="19"/>
  <c r="CE22" i="19"/>
  <c r="CI22" i="19"/>
  <c r="CE18" i="19"/>
  <c r="CI18" i="19"/>
  <c r="CE14" i="19"/>
  <c r="CI14" i="19"/>
  <c r="BL37" i="19"/>
  <c r="CF37" i="19"/>
  <c r="BL33" i="19"/>
  <c r="CF33" i="19"/>
  <c r="BL29" i="19"/>
  <c r="CF29" i="19"/>
  <c r="BL25" i="19"/>
  <c r="CF25" i="19"/>
  <c r="BL21" i="19"/>
  <c r="CF21" i="19"/>
  <c r="BL17" i="19"/>
  <c r="CF17" i="19"/>
  <c r="BL13" i="19"/>
  <c r="CF13" i="19"/>
  <c r="BL36" i="19"/>
  <c r="CF36" i="19"/>
  <c r="BL32" i="19"/>
  <c r="CF32" i="19"/>
  <c r="BL28" i="19"/>
  <c r="CF28" i="19"/>
  <c r="BL24" i="19"/>
  <c r="CF24" i="19"/>
  <c r="BL20" i="19"/>
  <c r="CF20" i="19"/>
  <c r="BL16" i="19"/>
  <c r="CF16" i="19"/>
  <c r="BL12" i="19"/>
  <c r="CF12" i="19"/>
  <c r="BL35" i="19"/>
  <c r="CF35" i="19"/>
  <c r="BL31" i="19"/>
  <c r="CF31" i="19"/>
  <c r="BL27" i="19"/>
  <c r="CF27" i="19"/>
  <c r="BL23" i="19"/>
  <c r="CF23" i="19"/>
  <c r="BL19" i="19"/>
  <c r="CF19" i="19"/>
  <c r="BL15" i="19"/>
  <c r="CF15" i="19"/>
  <c r="BL34" i="19"/>
  <c r="CF34" i="19"/>
  <c r="BL30" i="19"/>
  <c r="CF30" i="19"/>
  <c r="BL26" i="19"/>
  <c r="CF26" i="19"/>
  <c r="BL22" i="19"/>
  <c r="CF22" i="19"/>
  <c r="BL18" i="19"/>
  <c r="CF18" i="19"/>
  <c r="BL14" i="19"/>
  <c r="CF14" i="19"/>
  <c r="BA37" i="19"/>
  <c r="AZ37" i="19"/>
  <c r="BA33" i="19"/>
  <c r="AZ33" i="19"/>
  <c r="BA29" i="19"/>
  <c r="AZ29" i="19"/>
  <c r="BA25" i="19"/>
  <c r="AZ25" i="19"/>
  <c r="BA21" i="19"/>
  <c r="AZ21" i="19"/>
  <c r="BA17" i="19"/>
  <c r="AZ17" i="19"/>
  <c r="BA13" i="19"/>
  <c r="AZ13" i="19"/>
  <c r="BA36" i="19"/>
  <c r="AZ36" i="19"/>
  <c r="BA32" i="19"/>
  <c r="AZ32" i="19"/>
  <c r="BA28" i="19"/>
  <c r="AZ28" i="19"/>
  <c r="BA24" i="19"/>
  <c r="AZ24" i="19"/>
  <c r="BA20" i="19"/>
  <c r="AZ20" i="19"/>
  <c r="BA16" i="19"/>
  <c r="AZ16" i="19"/>
  <c r="BA12" i="19"/>
  <c r="AZ12" i="19"/>
  <c r="BA35" i="19"/>
  <c r="AZ35" i="19"/>
  <c r="BA31" i="19"/>
  <c r="AZ31" i="19"/>
  <c r="BA27" i="19"/>
  <c r="AZ27" i="19"/>
  <c r="BA23" i="19"/>
  <c r="AZ23" i="19"/>
  <c r="BA19" i="19"/>
  <c r="AZ19" i="19"/>
  <c r="BA15" i="19"/>
  <c r="AZ15" i="19"/>
  <c r="BA34" i="19"/>
  <c r="AZ34" i="19"/>
  <c r="BA30" i="19"/>
  <c r="AZ30" i="19"/>
  <c r="BA26" i="19"/>
  <c r="AZ26" i="19"/>
  <c r="BA22" i="19"/>
  <c r="AZ22" i="19"/>
  <c r="BA18" i="19"/>
  <c r="AZ18" i="19"/>
  <c r="BA14" i="19"/>
  <c r="AZ14" i="19"/>
  <c r="AF37" i="19"/>
  <c r="AE37" i="19"/>
  <c r="AF33" i="19"/>
  <c r="AE33" i="19"/>
  <c r="AF29" i="19"/>
  <c r="AE29" i="19"/>
  <c r="AF25" i="19"/>
  <c r="AE25" i="19"/>
  <c r="AF21" i="19"/>
  <c r="AE21" i="19"/>
  <c r="AF17" i="19"/>
  <c r="AE17" i="19"/>
  <c r="AF13" i="19"/>
  <c r="AE13" i="19"/>
  <c r="AF36" i="19"/>
  <c r="AE36" i="19"/>
  <c r="AF32" i="19"/>
  <c r="AE32" i="19"/>
  <c r="AF28" i="19"/>
  <c r="AE28" i="19"/>
  <c r="AF24" i="19"/>
  <c r="AE24" i="19"/>
  <c r="AF20" i="19"/>
  <c r="AE20" i="19"/>
  <c r="AF16" i="19"/>
  <c r="AE16" i="19"/>
  <c r="AF12" i="19"/>
  <c r="AE12" i="19"/>
  <c r="AF35" i="19"/>
  <c r="AE35" i="19"/>
  <c r="AF31" i="19"/>
  <c r="AE31" i="19"/>
  <c r="AF27" i="19"/>
  <c r="AE27" i="19"/>
  <c r="AF23" i="19"/>
  <c r="AE23" i="19"/>
  <c r="AF19" i="19"/>
  <c r="AE19" i="19"/>
  <c r="AF15" i="19"/>
  <c r="AE15" i="19"/>
  <c r="AF34" i="19"/>
  <c r="AE34" i="19"/>
  <c r="AF30" i="19"/>
  <c r="AE30" i="19"/>
  <c r="AF26" i="19"/>
  <c r="AE26" i="19"/>
  <c r="AF22" i="19"/>
  <c r="AE22" i="19"/>
  <c r="AF18" i="19"/>
  <c r="AE18" i="19"/>
  <c r="AF14" i="19"/>
  <c r="AE14" i="19"/>
  <c r="AH37" i="19"/>
  <c r="AG37" i="19"/>
  <c r="AH33" i="19"/>
  <c r="AG33" i="19"/>
  <c r="AH29" i="19"/>
  <c r="AG29" i="19"/>
  <c r="AH25" i="19"/>
  <c r="AG25" i="19"/>
  <c r="AH21" i="19"/>
  <c r="AG21" i="19"/>
  <c r="AH17" i="19"/>
  <c r="AG17" i="19"/>
  <c r="AH13" i="19"/>
  <c r="AG13" i="19"/>
  <c r="AH36" i="19"/>
  <c r="AG36" i="19"/>
  <c r="AH32" i="19"/>
  <c r="AG32" i="19"/>
  <c r="AH28" i="19"/>
  <c r="AG28" i="19"/>
  <c r="AH24" i="19"/>
  <c r="AG24" i="19"/>
  <c r="AH20" i="19"/>
  <c r="AG20" i="19"/>
  <c r="AH16" i="19"/>
  <c r="AG16" i="19"/>
  <c r="AH12" i="19"/>
  <c r="AG12" i="19"/>
  <c r="AH35" i="19"/>
  <c r="AG35" i="19"/>
  <c r="AH31" i="19"/>
  <c r="AG31" i="19"/>
  <c r="AH27" i="19"/>
  <c r="AG27" i="19"/>
  <c r="AH23" i="19"/>
  <c r="AG23" i="19"/>
  <c r="AH19" i="19"/>
  <c r="AG19" i="19"/>
  <c r="AH15" i="19"/>
  <c r="AG15" i="19"/>
  <c r="AH34" i="19"/>
  <c r="AG34" i="19"/>
  <c r="AH30" i="19"/>
  <c r="AG30" i="19"/>
  <c r="AH26" i="19"/>
  <c r="AG26" i="19"/>
  <c r="AH22" i="19"/>
  <c r="AG22" i="19"/>
  <c r="AH18" i="19"/>
  <c r="AG18" i="19"/>
  <c r="AH14" i="19"/>
  <c r="AG14" i="19"/>
  <c r="AJ37" i="19"/>
  <c r="AI37" i="19"/>
  <c r="AJ33" i="19"/>
  <c r="AI33" i="19"/>
  <c r="AJ29" i="19"/>
  <c r="AI29" i="19"/>
  <c r="AJ25" i="19"/>
  <c r="AI25" i="19"/>
  <c r="AJ21" i="19"/>
  <c r="AI21" i="19"/>
  <c r="AJ17" i="19"/>
  <c r="AI17" i="19"/>
  <c r="AJ13" i="19"/>
  <c r="AI13" i="19"/>
  <c r="AJ36" i="19"/>
  <c r="AI36" i="19"/>
  <c r="AJ32" i="19"/>
  <c r="AI32" i="19"/>
  <c r="AJ28" i="19"/>
  <c r="AI28" i="19"/>
  <c r="AJ24" i="19"/>
  <c r="AI24" i="19"/>
  <c r="AJ20" i="19"/>
  <c r="AI20" i="19"/>
  <c r="AJ16" i="19"/>
  <c r="AI16" i="19"/>
  <c r="AJ12" i="19"/>
  <c r="AI12" i="19"/>
  <c r="AJ35" i="19"/>
  <c r="AI35" i="19"/>
  <c r="AJ31" i="19"/>
  <c r="AI31" i="19"/>
  <c r="AJ27" i="19"/>
  <c r="AI27" i="19"/>
  <c r="AJ23" i="19"/>
  <c r="AI23" i="19"/>
  <c r="AJ19" i="19"/>
  <c r="AI19" i="19"/>
  <c r="AJ15" i="19"/>
  <c r="AI15" i="19"/>
  <c r="AJ34" i="19"/>
  <c r="AI34" i="19"/>
  <c r="AJ30" i="19"/>
  <c r="AI30" i="19"/>
  <c r="AJ26" i="19"/>
  <c r="AI26" i="19"/>
  <c r="AJ22" i="19"/>
  <c r="AI22" i="19"/>
  <c r="AJ18" i="19"/>
  <c r="AI18" i="19"/>
  <c r="AJ14" i="19"/>
  <c r="AI14" i="19"/>
  <c r="AL37" i="19"/>
  <c r="AK37" i="19"/>
  <c r="AL33" i="19"/>
  <c r="AK33" i="19"/>
  <c r="AL29" i="19"/>
  <c r="AK29" i="19"/>
  <c r="AL25" i="19"/>
  <c r="AK25" i="19"/>
  <c r="AL21" i="19"/>
  <c r="AK21" i="19"/>
  <c r="AL17" i="19"/>
  <c r="AK17" i="19"/>
  <c r="AL13" i="19"/>
  <c r="AK13" i="19"/>
  <c r="AL36" i="19"/>
  <c r="AK36" i="19"/>
  <c r="AL32" i="19"/>
  <c r="AK32" i="19"/>
  <c r="AL28" i="19"/>
  <c r="AK28" i="19"/>
  <c r="AL24" i="19"/>
  <c r="AK24" i="19"/>
  <c r="AL20" i="19"/>
  <c r="AK20" i="19"/>
  <c r="AL16" i="19"/>
  <c r="AK16" i="19"/>
  <c r="AL12" i="19"/>
  <c r="AK12" i="19"/>
  <c r="AL35" i="19"/>
  <c r="AK35" i="19"/>
  <c r="AL31" i="19"/>
  <c r="AK31" i="19"/>
  <c r="AL27" i="19"/>
  <c r="AK27" i="19"/>
  <c r="AL23" i="19"/>
  <c r="AK23" i="19"/>
  <c r="AL19" i="19"/>
  <c r="AK19" i="19"/>
  <c r="AL15" i="19"/>
  <c r="AK15" i="19"/>
  <c r="AL34" i="19"/>
  <c r="AK34" i="19"/>
  <c r="AL30" i="19"/>
  <c r="AK30" i="19"/>
  <c r="AL26" i="19"/>
  <c r="AK26" i="19"/>
  <c r="AL22" i="19"/>
  <c r="AK22" i="19"/>
  <c r="AL18" i="19"/>
  <c r="AK18" i="19"/>
  <c r="AL14" i="19"/>
  <c r="AK14" i="19"/>
  <c r="AN37" i="19"/>
  <c r="AM37" i="19"/>
  <c r="AN33" i="19"/>
  <c r="AM33" i="19"/>
  <c r="AN29" i="19"/>
  <c r="AM29" i="19"/>
  <c r="AN25" i="19"/>
  <c r="AM25" i="19"/>
  <c r="AN21" i="19"/>
  <c r="AM21" i="19"/>
  <c r="AN17" i="19"/>
  <c r="AM17" i="19"/>
  <c r="AN13" i="19"/>
  <c r="AM13" i="19"/>
  <c r="AN36" i="19"/>
  <c r="AM36" i="19"/>
  <c r="AN32" i="19"/>
  <c r="AM32" i="19"/>
  <c r="AN28" i="19"/>
  <c r="AM28" i="19"/>
  <c r="AN24" i="19"/>
  <c r="AM24" i="19"/>
  <c r="AN20" i="19"/>
  <c r="AM20" i="19"/>
  <c r="AN16" i="19"/>
  <c r="AM16" i="19"/>
  <c r="AN12" i="19"/>
  <c r="AM12" i="19"/>
  <c r="AN35" i="19"/>
  <c r="AM35" i="19"/>
  <c r="AN31" i="19"/>
  <c r="AM31" i="19"/>
  <c r="AN27" i="19"/>
  <c r="AM27" i="19"/>
  <c r="AN23" i="19"/>
  <c r="AM23" i="19"/>
  <c r="AN19" i="19"/>
  <c r="AM19" i="19"/>
  <c r="AN15" i="19"/>
  <c r="AM15" i="19"/>
  <c r="AN34" i="19"/>
  <c r="AM34" i="19"/>
  <c r="AN30" i="19"/>
  <c r="AM30" i="19"/>
  <c r="AN26" i="19"/>
  <c r="AM26" i="19"/>
  <c r="AN22" i="19"/>
  <c r="AM22" i="19"/>
  <c r="AN18" i="19"/>
  <c r="AM18" i="19"/>
  <c r="AN14" i="19"/>
  <c r="AM14" i="19"/>
  <c r="AO37" i="19"/>
  <c r="AO33" i="19"/>
  <c r="AO29" i="19"/>
  <c r="AO25" i="19"/>
  <c r="AO21" i="19"/>
  <c r="AO17" i="19"/>
  <c r="AO13" i="19"/>
  <c r="AO36" i="19"/>
  <c r="AO32" i="19"/>
  <c r="AO28" i="19"/>
  <c r="AO24" i="19"/>
  <c r="AO20" i="19"/>
  <c r="AO16" i="19"/>
  <c r="AO12" i="19"/>
  <c r="AO35" i="19"/>
  <c r="AO31" i="19"/>
  <c r="AO27" i="19"/>
  <c r="AO23" i="19"/>
  <c r="AO19" i="19"/>
  <c r="AO15" i="19"/>
  <c r="AO34" i="19"/>
  <c r="AO30" i="19"/>
  <c r="AO26" i="19"/>
  <c r="AO22" i="19"/>
  <c r="AO18" i="19"/>
  <c r="AO14"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DH10"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CJ11" i="19"/>
  <c r="DM11" i="19"/>
  <c r="AB11"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DV37" i="19" l="1"/>
  <c r="FN4" i="19"/>
  <c r="FF4" i="19"/>
  <c r="FM4" i="19"/>
  <c r="EV4" i="19"/>
  <c r="K1312" i="21"/>
  <c r="K172" i="21"/>
  <c r="K1274" i="21"/>
  <c r="AV61" i="9" a="1"/>
  <c r="AJ61" i="9" a="1"/>
  <c r="AE61" i="9" a="1"/>
  <c r="K552" i="21"/>
  <c r="E61" i="9" a="1"/>
  <c r="T61" i="9" a="1"/>
  <c r="K628" i="21"/>
  <c r="K1464" i="21"/>
  <c r="AF61" i="9" a="1"/>
  <c r="Q61" i="9" a="1"/>
  <c r="AI61" i="9" a="1"/>
  <c r="K666" i="21"/>
  <c r="K96" i="21"/>
  <c r="K20" i="21"/>
  <c r="AM61" i="9" a="1"/>
  <c r="X61" i="9" a="1"/>
  <c r="K61" i="9" a="1"/>
  <c r="K1084" i="21"/>
  <c r="K1008" i="21"/>
  <c r="L61" i="9" a="1"/>
  <c r="K1122" i="21"/>
  <c r="K818" i="21"/>
  <c r="AB61" i="9" a="1"/>
  <c r="K362" i="21"/>
  <c r="AQ61" i="9" a="1"/>
  <c r="K1692" i="21"/>
  <c r="AD61" i="9" a="1"/>
  <c r="O61" i="9" a="1"/>
  <c r="AS61" i="9" a="1"/>
  <c r="K590" i="21"/>
  <c r="Z61" i="9" a="1"/>
  <c r="K1578" i="21"/>
  <c r="AP61" i="9" a="1"/>
  <c r="K704" i="21"/>
  <c r="K780" i="21"/>
  <c r="K1540" i="21"/>
  <c r="K58" i="21"/>
  <c r="K248" i="21"/>
  <c r="K1426" i="21"/>
  <c r="V61" i="9" a="1"/>
  <c r="AR61" i="9" a="1"/>
  <c r="AT61" i="9" a="1"/>
  <c r="K894" i="21"/>
  <c r="AK61" i="9" a="1"/>
  <c r="K856" i="21"/>
  <c r="R61" i="9" a="1"/>
  <c r="AU61" i="9" a="1"/>
  <c r="W61" i="9" a="1"/>
  <c r="U61" i="9" a="1"/>
  <c r="K1350" i="21"/>
  <c r="K324" i="21"/>
  <c r="N61" i="9" a="1"/>
  <c r="K1198" i="21"/>
  <c r="I61" i="9" a="1"/>
  <c r="K932" i="21"/>
  <c r="K476" i="21"/>
  <c r="AN61" i="9" a="1"/>
  <c r="K400" i="21"/>
  <c r="K970" i="21"/>
  <c r="M61" i="9" a="1"/>
  <c r="AC61" i="9" a="1"/>
  <c r="K1388" i="21"/>
  <c r="H61" i="9" a="1"/>
  <c r="K134" i="21"/>
  <c r="F61" i="9" a="1"/>
  <c r="AA61" i="9" a="1"/>
  <c r="K286" i="21"/>
  <c r="K514" i="21"/>
  <c r="K210" i="21"/>
  <c r="K1502" i="21"/>
  <c r="AL61" i="9" a="1"/>
  <c r="K742" i="21"/>
  <c r="Y61" i="9" a="1"/>
  <c r="J61" i="9" a="1"/>
  <c r="AG61" i="9" a="1"/>
  <c r="AH61" i="9" a="1"/>
  <c r="K1236" i="21"/>
  <c r="P61" i="9" a="1"/>
  <c r="K1654" i="21"/>
  <c r="K1616" i="21"/>
  <c r="AW61" i="9" a="1"/>
  <c r="S61" i="9" a="1"/>
  <c r="K1046" i="21"/>
  <c r="K438" i="21"/>
  <c r="K1160" i="21"/>
  <c r="AO61" i="9" a="1"/>
  <c r="G61" i="9" a="1"/>
  <c r="AE21" i="9" a="1"/>
  <c r="CL25" i="9" a="1"/>
  <c r="R22" i="9" a="1"/>
  <c r="CJ26" i="9" a="1"/>
  <c r="AW22" i="9" a="1"/>
  <c r="CL22" i="9" a="1"/>
  <c r="O21" i="9" a="1"/>
  <c r="K1844" i="22"/>
  <c r="AJ21" i="9" a="1"/>
  <c r="AJ23" i="9" a="1"/>
  <c r="CQ24" i="9" a="1"/>
  <c r="S24" i="9" a="1"/>
  <c r="BB21" i="9" a="1"/>
  <c r="K362" i="14"/>
  <c r="BL20" i="9" a="1"/>
  <c r="AM25" i="9" a="1"/>
  <c r="CM25" i="9" a="1"/>
  <c r="CQ22" i="9" a="1"/>
  <c r="AE24" i="9" a="1"/>
  <c r="L22" i="9" a="1"/>
  <c r="BG21" i="9" a="1"/>
  <c r="X24" i="9" a="1"/>
  <c r="Z20" i="9" a="1"/>
  <c r="W24" i="9" a="1"/>
  <c r="K134" i="5"/>
  <c r="K286" i="14"/>
  <c r="BJ23" i="9" a="1"/>
  <c r="AL26" i="9" a="1"/>
  <c r="CD25" i="9" a="1"/>
  <c r="BZ26" i="9" a="1"/>
  <c r="CL20" i="9" a="1"/>
  <c r="Q25" i="9" a="1"/>
  <c r="AO22" i="9" a="1"/>
  <c r="AO25" i="9" a="1"/>
  <c r="CF23" i="9" a="1"/>
  <c r="BS20" i="9" a="1"/>
  <c r="K856" i="22"/>
  <c r="AB22" i="9" a="1"/>
  <c r="E23" i="9" a="1"/>
  <c r="AL20" i="9" a="1"/>
  <c r="CR21" i="9" a="1"/>
  <c r="Z24" i="9" a="1"/>
  <c r="CQ20" i="9" a="1"/>
  <c r="S23" i="9" a="1"/>
  <c r="AD24" i="9" a="1"/>
  <c r="K552" i="22"/>
  <c r="AP20" i="9" a="1"/>
  <c r="Q24" i="9" a="1"/>
  <c r="BO24" i="9" a="1"/>
  <c r="AY21" i="9" a="1"/>
  <c r="AS22" i="9" a="1"/>
  <c r="K20" i="18"/>
  <c r="AK26" i="9" a="1"/>
  <c r="BC26" i="9" a="1"/>
  <c r="CG22" i="9" a="1"/>
  <c r="H26" i="9" a="1"/>
  <c r="P25" i="9" a="1"/>
  <c r="CB26" i="9" a="1"/>
  <c r="BI24" i="9" a="1"/>
  <c r="BH26" i="9" a="1"/>
  <c r="CF21" i="9" a="1"/>
  <c r="M23" i="9" a="1"/>
  <c r="BL24" i="9" a="1"/>
  <c r="BU20" i="9" a="1"/>
  <c r="K58" i="5"/>
  <c r="BR23" i="9" a="1"/>
  <c r="AN23" i="9" a="1"/>
  <c r="BH21" i="9" a="1"/>
  <c r="BK20" i="9" a="1"/>
  <c r="AU23" i="9" a="1"/>
  <c r="BM24" i="9" a="1"/>
  <c r="O22" i="9" a="1"/>
  <c r="CG21" i="9" a="1"/>
  <c r="AM20" i="9" a="1"/>
  <c r="CO26" i="9" a="1"/>
  <c r="CK23" i="9" a="1"/>
  <c r="J24" i="9" a="1"/>
  <c r="BT22" i="9" a="1"/>
  <c r="K20" i="9" a="1"/>
  <c r="AB23" i="9" a="1"/>
  <c r="CB23" i="9" a="1"/>
  <c r="K96" i="22"/>
  <c r="AR20" i="9" a="1"/>
  <c r="AJ26" i="9" a="1"/>
  <c r="AZ24" i="9" a="1"/>
  <c r="AH24" i="9" a="1"/>
  <c r="AN24" i="9" a="1"/>
  <c r="AM24" i="9" a="1"/>
  <c r="K20" i="14"/>
  <c r="K742" i="22"/>
  <c r="CH21" i="9" a="1"/>
  <c r="AM21" i="9" a="1"/>
  <c r="CG26" i="9" a="1"/>
  <c r="AR26" i="9" a="1"/>
  <c r="CC26" i="9" a="1"/>
  <c r="CP24" i="9" a="1"/>
  <c r="Q22" i="9" a="1"/>
  <c r="K134" i="15"/>
  <c r="AF23" i="9" a="1"/>
  <c r="J26" i="9" a="1"/>
  <c r="J22" i="9" a="1"/>
  <c r="K1084" i="22"/>
  <c r="CA23" i="9" a="1"/>
  <c r="CD20" i="9" a="1"/>
  <c r="CE26" i="9" a="1"/>
  <c r="BK26" i="9" a="1"/>
  <c r="BX25" i="9" a="1"/>
  <c r="BI21" i="9" a="1"/>
  <c r="K1122" i="22"/>
  <c r="BE20" i="9" a="1"/>
  <c r="AF25" i="9" a="1"/>
  <c r="BY21" i="9" a="1"/>
  <c r="U21" i="9" a="1"/>
  <c r="BB22" i="9" a="1"/>
  <c r="CK25" i="9" a="1"/>
  <c r="Y23" i="9" a="1"/>
  <c r="BW23" i="9" a="1"/>
  <c r="BR22" i="9" a="1"/>
  <c r="I23" i="9" a="1"/>
  <c r="AW20" i="9" a="1"/>
  <c r="CP20" i="9" a="1"/>
  <c r="S22" i="9" a="1"/>
  <c r="K362" i="22"/>
  <c r="CC25" i="9" a="1"/>
  <c r="CE24" i="9" a="1"/>
  <c r="Z21" i="9" a="1"/>
  <c r="AC21" i="9" a="1"/>
  <c r="CN23" i="9" a="1"/>
  <c r="H22" i="9" a="1"/>
  <c r="K1160" i="22"/>
  <c r="AV22" i="9" a="1"/>
  <c r="BC22" i="9" a="1"/>
  <c r="V23" i="9" a="1"/>
  <c r="E25" i="9" a="1"/>
  <c r="M24" i="9" a="1"/>
  <c r="BE26" i="9" a="1"/>
  <c r="BQ20" i="9" a="1"/>
  <c r="BL23" i="9" a="1"/>
  <c r="BZ25" i="9" a="1"/>
  <c r="K134" i="22"/>
  <c r="F24" i="9" a="1"/>
  <c r="BS26" i="9" a="1"/>
  <c r="BO20" i="9" a="1"/>
  <c r="J21" i="9" a="1"/>
  <c r="T21" i="9" a="1"/>
  <c r="AD21" i="9" a="1"/>
  <c r="BF23" i="9" a="1"/>
  <c r="AX23" i="9" a="1"/>
  <c r="K780" i="22"/>
  <c r="AV24" i="9" a="1"/>
  <c r="I22" i="9" a="1"/>
  <c r="I20" i="9" a="1"/>
  <c r="AX22" i="9" a="1"/>
  <c r="BQ25" i="9" a="1"/>
  <c r="AN25" i="9" a="1"/>
  <c r="K210" i="14"/>
  <c r="T26" i="9" a="1"/>
  <c r="CK21" i="9" a="1"/>
  <c r="CO21" i="9" a="1"/>
  <c r="K1008" i="22"/>
  <c r="K1388" i="22"/>
  <c r="CI26" i="9" a="1"/>
  <c r="AO20" i="9" a="1"/>
  <c r="BU25" i="9" a="1"/>
  <c r="W21" i="9" a="1"/>
  <c r="X26" i="9" a="1"/>
  <c r="BB26" i="9" a="1"/>
  <c r="V24" i="9" a="1"/>
  <c r="AW23" i="9" a="1"/>
  <c r="BV21" i="9" a="1"/>
  <c r="BF25" i="9" a="1"/>
  <c r="K1426" i="22"/>
  <c r="K666" i="22"/>
  <c r="R21" i="9" a="1"/>
  <c r="N24" i="9" a="1"/>
  <c r="BA24" i="9" a="1"/>
  <c r="U25" i="9" a="1"/>
  <c r="K628" i="22"/>
  <c r="CP23" i="9" a="1"/>
  <c r="L26" i="9" a="1"/>
  <c r="K172" i="5"/>
  <c r="K590" i="14"/>
  <c r="T24" i="9" a="1"/>
  <c r="BA25" i="9" a="1"/>
  <c r="U22" i="9" a="1"/>
  <c r="AZ22" i="9" a="1"/>
  <c r="H25" i="9" a="1"/>
  <c r="BS24" i="9" a="1"/>
  <c r="AH22" i="9" a="1"/>
  <c r="K1502" i="22"/>
  <c r="AQ22" i="9" a="1"/>
  <c r="T20" i="9" a="1"/>
  <c r="K1198" i="22"/>
  <c r="AF20" i="9" a="1"/>
  <c r="BT23" i="9" a="1"/>
  <c r="AQ23" i="9" a="1"/>
  <c r="AH25" i="9" a="1"/>
  <c r="BF20" i="9" a="1"/>
  <c r="CA26" i="9" a="1"/>
  <c r="V21" i="9" a="1"/>
  <c r="BK23" i="9" a="1"/>
  <c r="CR20" i="9" a="1"/>
  <c r="AX25" i="9" a="1"/>
  <c r="K590" i="22"/>
  <c r="BS25" i="9" a="1"/>
  <c r="AI20" i="9" a="1"/>
  <c r="BP23" i="9" a="1"/>
  <c r="AK25" i="9" a="1"/>
  <c r="W25" i="9" a="1"/>
  <c r="AY26" i="9" a="1"/>
  <c r="F21" i="9" a="1"/>
  <c r="O23" i="9" a="1"/>
  <c r="BZ24" i="9" a="1"/>
  <c r="K1046" i="22"/>
  <c r="Q21" i="9" a="1"/>
  <c r="AU21" i="9" a="1"/>
  <c r="AB26" i="9" a="1"/>
  <c r="N20" i="9" a="1"/>
  <c r="BF26" i="9" a="1"/>
  <c r="K324" i="15"/>
  <c r="BC25" i="9" a="1"/>
  <c r="BM20" i="9" a="1"/>
  <c r="AK22" i="9" a="1"/>
  <c r="CJ23" i="9" a="1"/>
  <c r="BU24" i="9" a="1"/>
  <c r="P20" i="9" a="1"/>
  <c r="BE21" i="9" a="1"/>
  <c r="CB20" i="9" a="1"/>
  <c r="G22" i="9" a="1"/>
  <c r="O20" i="9" a="1"/>
  <c r="BH22" i="9" a="1"/>
  <c r="BC21" i="9" a="1"/>
  <c r="AT23" i="9" a="1"/>
  <c r="M26" i="9" a="1"/>
  <c r="T23" i="9" a="1"/>
  <c r="F23" i="9" a="1"/>
  <c r="AR21" i="9" a="1"/>
  <c r="CN25" i="9" a="1"/>
  <c r="BN20" i="9" a="1"/>
  <c r="CD21" i="9" a="1"/>
  <c r="AC20" i="9" a="1"/>
  <c r="AN26" i="9" a="1"/>
  <c r="AM23" i="9" a="1"/>
  <c r="BN26" i="9" a="1"/>
  <c r="AW25" i="9" a="1"/>
  <c r="BU26" i="9" a="1"/>
  <c r="BY20" i="9" a="1"/>
  <c r="BD25" i="9" a="1"/>
  <c r="S25" i="9" a="1"/>
  <c r="AL21" i="9" a="1"/>
  <c r="BS23" i="9" a="1"/>
  <c r="AT22" i="9" a="1"/>
  <c r="BD23" i="9" a="1"/>
  <c r="AU20" i="9" a="1"/>
  <c r="CM22" i="9" a="1"/>
  <c r="AH21" i="9" a="1"/>
  <c r="CF20" i="9" a="1"/>
  <c r="CL21" i="9" a="1"/>
  <c r="AD20" i="9" a="1"/>
  <c r="K58" i="22"/>
  <c r="AQ21" i="9" a="1"/>
  <c r="CP21" i="9" a="1"/>
  <c r="AV25" i="9" a="1"/>
  <c r="F25" i="9" a="1"/>
  <c r="AW24" i="9" a="1"/>
  <c r="K704" i="22"/>
  <c r="AD23" i="9" a="1"/>
  <c r="AA26" i="9" a="1"/>
  <c r="BV25" i="9" a="1"/>
  <c r="AQ26" i="9" a="1"/>
  <c r="CM23" i="9" a="1"/>
  <c r="AE26" i="9" a="1"/>
  <c r="AK21" i="9" a="1"/>
  <c r="BX26" i="9" a="1"/>
  <c r="K22" i="9" a="1"/>
  <c r="CO23" i="9" a="1"/>
  <c r="BZ20" i="9" a="1"/>
  <c r="BA21" i="9" a="1"/>
  <c r="R20" i="9" a="1"/>
  <c r="K172" i="18"/>
  <c r="CO20" i="9" a="1"/>
  <c r="CE21" i="9" a="1"/>
  <c r="K1540" i="22"/>
  <c r="BR26" i="9" a="1"/>
  <c r="V22" i="9" a="1"/>
  <c r="BJ24" i="9" a="1"/>
  <c r="S21" i="9" a="1"/>
  <c r="BD26" i="9" a="1"/>
  <c r="AM22" i="9" a="1"/>
  <c r="T25" i="9" a="1"/>
  <c r="AY23" i="9" a="1"/>
  <c r="BY24" i="9" a="1"/>
  <c r="K96" i="15"/>
  <c r="BN25" i="9" a="1"/>
  <c r="X25" i="9" a="1"/>
  <c r="K96" i="13"/>
  <c r="BQ22" i="9" a="1"/>
  <c r="X22" i="9" a="1"/>
  <c r="BT24" i="9" a="1"/>
  <c r="U23" i="9" a="1"/>
  <c r="AN22" i="9" a="1"/>
  <c r="K1312" i="22"/>
  <c r="BW26" i="9" a="1"/>
  <c r="AU22" i="9" a="1"/>
  <c r="CB21" i="9" a="1"/>
  <c r="BZ21" i="9" a="1"/>
  <c r="CH20" i="9" a="1"/>
  <c r="K514" i="22"/>
  <c r="BN22" i="9" a="1"/>
  <c r="K58" i="14"/>
  <c r="BR21" i="9" a="1"/>
  <c r="F20" i="9" a="1"/>
  <c r="X21" i="9" a="1"/>
  <c r="CC21" i="9" a="1"/>
  <c r="AA23" i="9" a="1"/>
  <c r="BH24" i="9" a="1"/>
  <c r="AY24" i="9" a="1"/>
  <c r="CH26" i="9" a="1"/>
  <c r="AT26" i="9" a="1"/>
  <c r="CG25" i="9" a="1"/>
  <c r="AF21" i="9" a="1"/>
  <c r="CI23" i="9" a="1"/>
  <c r="CI21" i="9" a="1"/>
  <c r="BX23" i="9" a="1"/>
  <c r="BG20" i="9" a="1"/>
  <c r="K1806" i="22"/>
  <c r="BL22" i="9" a="1"/>
  <c r="BM23" i="9" a="1"/>
  <c r="W26" i="9" a="1"/>
  <c r="CN20" i="9" a="1"/>
  <c r="AS26" i="9" a="1"/>
  <c r="CB24" i="9" a="1"/>
  <c r="BT25" i="9" a="1"/>
  <c r="K210" i="22"/>
  <c r="AF22" i="9" a="1"/>
  <c r="P23" i="9" a="1"/>
  <c r="N21" i="9" a="1"/>
  <c r="BY22" i="9" a="1"/>
  <c r="AX26" i="9" a="1"/>
  <c r="K20" i="13"/>
  <c r="BX22" i="9" a="1"/>
  <c r="BR20" i="9" a="1"/>
  <c r="AE20" i="9" a="1"/>
  <c r="BY26" i="9" a="1"/>
  <c r="N25" i="9" a="1"/>
  <c r="L23" i="9" a="1"/>
  <c r="CP22" i="9" a="1"/>
  <c r="K476" i="14"/>
  <c r="CM20" i="9" a="1"/>
  <c r="V25" i="9" a="1"/>
  <c r="AL23" i="9" a="1"/>
  <c r="BG22" i="9" a="1"/>
  <c r="CD24" i="9" a="1"/>
  <c r="AK24" i="9" a="1"/>
  <c r="AF26" i="9" a="1"/>
  <c r="BF22" i="9" a="1"/>
  <c r="BX20" i="9" a="1"/>
  <c r="K1464" i="22"/>
  <c r="CR22" i="9" a="1"/>
  <c r="K970" i="22"/>
  <c r="AI25" i="9" a="1"/>
  <c r="K1616" i="22"/>
  <c r="CF22" i="9" a="1"/>
  <c r="BH20" i="9" a="1"/>
  <c r="G26" i="9" a="1"/>
  <c r="CA22" i="9" a="1"/>
  <c r="K134" i="18"/>
  <c r="AY25" i="9" a="1"/>
  <c r="BT26" i="9" a="1"/>
  <c r="BE22" i="9" a="1"/>
  <c r="AU26" i="9" a="1"/>
  <c r="CN21" i="9" a="1"/>
  <c r="CJ20" i="9" a="1"/>
  <c r="AT25" i="9" a="1"/>
  <c r="CE22" i="9" a="1"/>
  <c r="W20" i="9" a="1"/>
  <c r="CA20" i="9" a="1"/>
  <c r="BI25" i="9" a="1"/>
  <c r="CH23" i="9" a="1"/>
  <c r="R26" i="9" a="1"/>
  <c r="AQ20" i="9" a="1"/>
  <c r="BJ22" i="9" a="1"/>
  <c r="BG24" i="9" a="1"/>
  <c r="AT21" i="9" a="1"/>
  <c r="K1692" i="22"/>
  <c r="BU22" i="9" a="1"/>
  <c r="CF24" i="9" a="1"/>
  <c r="Z26" i="9" a="1"/>
  <c r="P21" i="9" a="1"/>
  <c r="AF24" i="9" a="1"/>
  <c r="CL24" i="9" a="1"/>
  <c r="AO26" i="9" a="1"/>
  <c r="AP23" i="9" a="1"/>
  <c r="I26" i="9" a="1"/>
  <c r="CB22" i="9" a="1"/>
  <c r="Q20" i="9" a="1"/>
  <c r="BF24" i="9" a="1"/>
  <c r="AZ20" i="9" a="1"/>
  <c r="AQ24" i="9" a="1"/>
  <c r="AO23" i="9" a="1"/>
  <c r="AZ26" i="9" a="1"/>
  <c r="I21" i="9" a="1"/>
  <c r="CC23" i="9" a="1"/>
  <c r="BE24" i="9" a="1"/>
  <c r="CE23" i="9" a="1"/>
  <c r="H21" i="9" a="1"/>
  <c r="CL26" i="9" a="1"/>
  <c r="K1730" i="22"/>
  <c r="K24" i="9" a="1"/>
  <c r="BO26" i="9" a="1"/>
  <c r="E21" i="9" a="1"/>
  <c r="BP20" i="9" a="1"/>
  <c r="AR24" i="9" a="1"/>
  <c r="L21" i="9" a="1"/>
  <c r="BA20" i="9" a="1"/>
  <c r="BT20" i="9" a="1"/>
  <c r="CC20" i="9" a="1"/>
  <c r="BQ26" i="9" a="1"/>
  <c r="AA25" i="9" a="1"/>
  <c r="AN21" i="9" a="1"/>
  <c r="Q26" i="9" a="1"/>
  <c r="BE23" i="9" a="1"/>
  <c r="AS25" i="9" a="1"/>
  <c r="AK20" i="9" a="1"/>
  <c r="K818" i="22"/>
  <c r="AI26" i="9" a="1"/>
  <c r="BY23" i="9" a="1"/>
  <c r="K248" i="22"/>
  <c r="AE22" i="9" a="1"/>
  <c r="H20" i="9" a="1"/>
  <c r="AD25" i="9" a="1"/>
  <c r="BK22" i="9" a="1"/>
  <c r="K172" i="22"/>
  <c r="BV22" i="9" a="1"/>
  <c r="BO22" i="9" a="1"/>
  <c r="G21" i="9" a="1"/>
  <c r="CJ24" i="9" a="1"/>
  <c r="BJ25" i="9" a="1"/>
  <c r="CE20" i="9" a="1"/>
  <c r="AZ25" i="9" a="1"/>
  <c r="E22" i="9" a="1"/>
  <c r="N23" i="9" a="1"/>
  <c r="AE25" i="9" a="1"/>
  <c r="N26" i="9" a="1"/>
  <c r="AA20" i="9" a="1"/>
  <c r="AI21" i="9" a="1"/>
  <c r="CI24" i="9" a="1"/>
  <c r="CA21" i="9" a="1"/>
  <c r="AH26" i="9" a="1"/>
  <c r="BD22" i="9" a="1"/>
  <c r="CC22" i="9" a="1"/>
  <c r="AG23" i="9" a="1"/>
  <c r="K1236" i="22"/>
  <c r="L25" i="9" a="1"/>
  <c r="T22" i="9" a="1"/>
  <c r="AJ20" i="9" a="1"/>
  <c r="K20" i="5"/>
  <c r="CR24" i="9" a="1"/>
  <c r="CH22" i="9" a="1"/>
  <c r="BA26" i="9" a="1"/>
  <c r="AJ25" i="9" a="1"/>
  <c r="K26" i="9" a="1"/>
  <c r="AS24" i="9" a="1"/>
  <c r="AP25" i="9" a="1"/>
  <c r="Z23" i="9" a="1"/>
  <c r="BW20" i="9" a="1"/>
  <c r="M21" i="9" a="1"/>
  <c r="BM25" i="9" a="1"/>
  <c r="M25" i="9" a="1"/>
  <c r="CQ25" i="9" a="1"/>
  <c r="AY20" i="9" a="1"/>
  <c r="BC23" i="9" a="1"/>
  <c r="AR25" i="9" a="1"/>
  <c r="BC20" i="9" a="1"/>
  <c r="BS22" i="9" a="1"/>
  <c r="BN21" i="9" a="1"/>
  <c r="F22" i="9" a="1"/>
  <c r="BB25" i="9" a="1"/>
  <c r="K210" i="5"/>
  <c r="CK20" i="9" a="1"/>
  <c r="BV23" i="9" a="1"/>
  <c r="BX24" i="9" a="1"/>
  <c r="BQ23" i="9" a="1"/>
  <c r="BU21" i="9" a="1"/>
  <c r="CC24" i="9" a="1"/>
  <c r="AW21" i="9" a="1"/>
  <c r="H24" i="9" a="1"/>
  <c r="BL26" i="9" a="1"/>
  <c r="V26" i="9" a="1"/>
  <c r="BB24" i="9" a="1"/>
  <c r="CO22" i="9" a="1"/>
  <c r="AP22" i="9" a="1"/>
  <c r="BP25" i="9" a="1"/>
  <c r="AG21" i="9" a="1"/>
  <c r="K1350" i="22"/>
  <c r="BT21" i="9" a="1"/>
  <c r="CL23" i="9" a="1"/>
  <c r="CR23" i="9" a="1"/>
  <c r="AT20" i="9" a="1"/>
  <c r="BJ20" i="9" a="1"/>
  <c r="G25" i="9" a="1"/>
  <c r="P24" i="9" a="1"/>
  <c r="K20" i="15"/>
  <c r="CI25" i="9" a="1"/>
  <c r="BJ21" i="9" a="1"/>
  <c r="BV24" i="9" a="1"/>
  <c r="AE23" i="9" a="1"/>
  <c r="BI26" i="9" a="1"/>
  <c r="CJ25" i="9" a="1"/>
  <c r="O26" i="9" a="1"/>
  <c r="BH23" i="9" a="1"/>
  <c r="CF25" i="9" a="1"/>
  <c r="AB21" i="9" a="1"/>
  <c r="BO23" i="9" a="1"/>
  <c r="BM22" i="9" a="1"/>
  <c r="BD24" i="9" a="1"/>
  <c r="AX24" i="9" a="1"/>
  <c r="K438" i="22"/>
  <c r="AK23" i="9" a="1"/>
  <c r="BN23" i="9" a="1"/>
  <c r="CQ26" i="9" a="1"/>
  <c r="AA24" i="9" a="1"/>
  <c r="L24" i="9" a="1"/>
  <c r="AQ25" i="9" a="1"/>
  <c r="K210" i="15"/>
  <c r="CQ21" i="9" a="1"/>
  <c r="BK21" i="9" a="1"/>
  <c r="CD22" i="9" a="1"/>
  <c r="R23" i="9" a="1"/>
  <c r="AO24" i="9" a="1"/>
  <c r="J20" i="9" a="1"/>
  <c r="J23" i="9" a="1"/>
  <c r="BI20" i="9" a="1"/>
  <c r="O24" i="9" a="1"/>
  <c r="Y25" i="9" a="1"/>
  <c r="CM26" i="9" a="1"/>
  <c r="U20" i="9" a="1"/>
  <c r="X23" i="9" a="1"/>
  <c r="CK22" i="9" a="1"/>
  <c r="CO25" i="9" a="1"/>
  <c r="CI22" i="9" a="1"/>
  <c r="AZ23" i="9" a="1"/>
  <c r="CB25" i="9" a="1"/>
  <c r="K704" i="14"/>
  <c r="K1654" i="22"/>
  <c r="BX21" i="9" a="1"/>
  <c r="AU24" i="9" a="1"/>
  <c r="K894" i="22"/>
  <c r="O25" i="9" a="1"/>
  <c r="CH25" i="9" a="1"/>
  <c r="AI22" i="9" a="1"/>
  <c r="AD22" i="9" a="1"/>
  <c r="E26" i="9" a="1"/>
  <c r="S26" i="9" a="1"/>
  <c r="AS21" i="9" a="1"/>
  <c r="Y22" i="9" a="1"/>
  <c r="CF26" i="9" a="1"/>
  <c r="BB20" i="9" a="1"/>
  <c r="F26" i="9" a="1"/>
  <c r="AT24" i="9" a="1"/>
  <c r="BQ21" i="9" a="1"/>
  <c r="CP26" i="9" a="1"/>
  <c r="P22" i="9" a="1"/>
  <c r="AB24" i="9" a="1"/>
  <c r="U26" i="9" a="1"/>
  <c r="V20" i="9" a="1"/>
  <c r="AI24" i="9" a="1"/>
  <c r="BO21" i="9" a="1"/>
  <c r="K58" i="13"/>
  <c r="E20" i="9" a="1"/>
  <c r="K476" i="22"/>
  <c r="M20" i="9" a="1"/>
  <c r="CD26" i="9" a="1"/>
  <c r="Y21" i="9" a="1"/>
  <c r="K438" i="14"/>
  <c r="L20" i="9" a="1"/>
  <c r="AL25" i="9" a="1"/>
  <c r="BF21" i="9" a="1"/>
  <c r="K286" i="15"/>
  <c r="AC23" i="9" a="1"/>
  <c r="CK24" i="9" a="1"/>
  <c r="CR26" i="9" a="1"/>
  <c r="CG23" i="9" a="1"/>
  <c r="AA21" i="9" a="1"/>
  <c r="AR23" i="9" a="1"/>
  <c r="K400" i="22"/>
  <c r="CE25" i="9" a="1"/>
  <c r="BW25" i="9" a="1"/>
  <c r="BM26" i="9" a="1"/>
  <c r="K134" i="14"/>
  <c r="AC25" i="9" a="1"/>
  <c r="N22" i="9" a="1"/>
  <c r="CR25" i="9" a="1"/>
  <c r="BB23" i="9" a="1"/>
  <c r="K932" i="22"/>
  <c r="CH24" i="9" a="1"/>
  <c r="K21" i="9" a="1"/>
  <c r="CN22" i="9" a="1"/>
  <c r="BR24" i="9" a="1"/>
  <c r="AG20" i="9" a="1"/>
  <c r="AP24" i="9" a="1"/>
  <c r="K514" i="14"/>
  <c r="AG26" i="9" a="1"/>
  <c r="AG24" i="9" a="1"/>
  <c r="K23" i="9" a="1"/>
  <c r="AB20" i="9" a="1"/>
  <c r="K286" i="22"/>
  <c r="E24" i="9" a="1"/>
  <c r="BK25" i="9" a="1"/>
  <c r="AW26" i="9" a="1"/>
  <c r="BL25" i="9" a="1"/>
  <c r="K324" i="22"/>
  <c r="K1768" i="22"/>
  <c r="K324" i="14"/>
  <c r="Y24" i="9" a="1"/>
  <c r="BH25" i="9" a="1"/>
  <c r="AV20" i="9" a="1"/>
  <c r="CM21" i="9" a="1"/>
  <c r="AI23" i="9" a="1"/>
  <c r="AA22" i="9" a="1"/>
  <c r="AX20" i="9" a="1"/>
  <c r="BG25" i="9" a="1"/>
  <c r="AC24" i="9" a="1"/>
  <c r="BP24" i="9" a="1"/>
  <c r="Z22" i="9" a="1"/>
  <c r="AN20" i="9" a="1"/>
  <c r="H23" i="9" a="1"/>
  <c r="AZ21" i="9" a="1"/>
  <c r="AY22" i="9" a="1"/>
  <c r="AG22" i="9" a="1"/>
  <c r="BZ22" i="9" a="1"/>
  <c r="AJ24" i="9" a="1"/>
  <c r="CI20" i="9" a="1"/>
  <c r="BW22" i="9" a="1"/>
  <c r="BU23" i="9" a="1"/>
  <c r="BP21" i="9" a="1"/>
  <c r="BD20" i="9" a="1"/>
  <c r="K666" i="14"/>
  <c r="K1274" i="22"/>
  <c r="X20" i="9" a="1"/>
  <c r="K20" i="22"/>
  <c r="CM24" i="9" a="1"/>
  <c r="K248" i="14"/>
  <c r="G20" i="9" a="1"/>
  <c r="Y26" i="9" a="1"/>
  <c r="Q23" i="9" a="1"/>
  <c r="K96" i="18"/>
  <c r="G23" i="9" a="1"/>
  <c r="BZ23" i="9" a="1"/>
  <c r="BG26" i="9" a="1"/>
  <c r="AH23" i="9" a="1"/>
  <c r="AR22" i="9" a="1"/>
  <c r="BA23" i="9" a="1"/>
  <c r="BY25" i="9" a="1"/>
  <c r="AC26" i="9" a="1"/>
  <c r="AG25" i="9" a="1"/>
  <c r="AS23" i="9" a="1"/>
  <c r="BI22" i="9" a="1"/>
  <c r="BP22" i="9" a="1"/>
  <c r="CO24" i="9" a="1"/>
  <c r="BR25" i="9" a="1"/>
  <c r="M22" i="9" a="1"/>
  <c r="CP25" i="9" a="1"/>
  <c r="AV21" i="9" a="1"/>
  <c r="AX21" i="9" a="1"/>
  <c r="K172" i="15"/>
  <c r="I25" i="9" a="1"/>
  <c r="AD26" i="9" a="1"/>
  <c r="AO21" i="9" a="1"/>
  <c r="CG24" i="9" a="1"/>
  <c r="BS21" i="9" a="1"/>
  <c r="BP26" i="9" a="1"/>
  <c r="K58" i="15"/>
  <c r="AJ22" i="9" a="1"/>
  <c r="AL22" i="9" a="1"/>
  <c r="AP21" i="9" a="1"/>
  <c r="BC24" i="9" a="1"/>
  <c r="P26" i="9" a="1"/>
  <c r="R25" i="9" a="1"/>
  <c r="BD21" i="9" a="1"/>
  <c r="BO25" i="9" a="1"/>
  <c r="CA24" i="9" a="1"/>
  <c r="BJ26" i="9" a="1"/>
  <c r="CD23" i="9" a="1"/>
  <c r="BI23" i="9" a="1"/>
  <c r="BL21" i="9" a="1"/>
  <c r="W22" i="9" a="1"/>
  <c r="BW24" i="9" a="1"/>
  <c r="K96" i="5"/>
  <c r="BQ24" i="9" a="1"/>
  <c r="AV26" i="9" a="1"/>
  <c r="K400" i="14"/>
  <c r="CN26" i="9" a="1"/>
  <c r="K628" i="14"/>
  <c r="AM26" i="9" a="1"/>
  <c r="K1578" i="22"/>
  <c r="K172" i="14"/>
  <c r="CJ21" i="9" a="1"/>
  <c r="CK26" i="9" a="1"/>
  <c r="W23" i="9" a="1"/>
  <c r="K248" i="15"/>
  <c r="AB25" i="9" a="1"/>
  <c r="CJ22" i="9" a="1"/>
  <c r="AH20" i="9" a="1"/>
  <c r="BE25" i="9" a="1"/>
  <c r="U24" i="9" a="1"/>
  <c r="BV26" i="9" a="1"/>
  <c r="CQ23" i="9" a="1"/>
  <c r="BG23" i="9" a="1"/>
  <c r="BM21" i="9" a="1"/>
  <c r="Y20" i="9" a="1"/>
  <c r="AS20" i="9" a="1"/>
  <c r="R24" i="9" a="1"/>
  <c r="Z25" i="9" a="1"/>
  <c r="AV23" i="9" a="1"/>
  <c r="CA25" i="9" a="1"/>
  <c r="AL24" i="9" a="1"/>
  <c r="BN24" i="9" a="1"/>
  <c r="K25" i="9" a="1"/>
  <c r="BW21" i="9" a="1"/>
  <c r="BA22" i="9" a="1"/>
  <c r="K58" i="18"/>
  <c r="CN24" i="9" a="1"/>
  <c r="BV20" i="9" a="1"/>
  <c r="BK24" i="9" a="1"/>
  <c r="AU25" i="9" a="1"/>
  <c r="K96" i="14"/>
  <c r="I24" i="9" a="1"/>
  <c r="S20" i="9" a="1"/>
  <c r="AC22" i="9" a="1"/>
  <c r="J25" i="9" a="1"/>
  <c r="AP26" i="9" a="1"/>
  <c r="K552" i="14"/>
  <c r="G24" i="9" a="1"/>
  <c r="AR24" i="9" l="1"/>
  <c r="BN7" i="19" s="1"/>
  <c r="G61" i="9"/>
  <c r="AE25" i="9"/>
  <c r="BA8" i="19" s="1"/>
  <c r="BU23" i="9"/>
  <c r="AM21" i="9"/>
  <c r="AU25" i="9"/>
  <c r="BQ8" i="19" s="1"/>
  <c r="Z22" i="9"/>
  <c r="J23" i="9"/>
  <c r="BP20" i="9"/>
  <c r="BT24" i="9"/>
  <c r="CP7" i="19" s="1"/>
  <c r="N23" i="9"/>
  <c r="BW22" i="9"/>
  <c r="CH21" i="9"/>
  <c r="DD4" i="19" s="1"/>
  <c r="AY22" i="9"/>
  <c r="J20" i="9"/>
  <c r="E21" i="9"/>
  <c r="X22" i="9"/>
  <c r="BL22" i="9"/>
  <c r="CI20" i="9"/>
  <c r="DE3" i="19" s="1"/>
  <c r="BK24" i="9"/>
  <c r="CG7" i="19" s="1"/>
  <c r="AU24" i="9"/>
  <c r="BQ7" i="19" s="1"/>
  <c r="AO24" i="9"/>
  <c r="BK7" i="19" s="1"/>
  <c r="BO26" i="9"/>
  <c r="CK9" i="19" s="1"/>
  <c r="BQ22" i="9"/>
  <c r="G24" i="9"/>
  <c r="AC7" i="19" s="1"/>
  <c r="AJ24" i="9"/>
  <c r="BF7" i="19" s="1"/>
  <c r="AZ21" i="9"/>
  <c r="BP24" i="9"/>
  <c r="CL7" i="19" s="1"/>
  <c r="R23" i="9"/>
  <c r="AO61" i="9"/>
  <c r="E22" i="9"/>
  <c r="BZ22" i="9"/>
  <c r="AM24" i="9"/>
  <c r="BI7" i="19" s="1"/>
  <c r="H23" i="9"/>
  <c r="BX21" i="9"/>
  <c r="CT4" i="19" s="1"/>
  <c r="CD22" i="9"/>
  <c r="CZ5" i="19" s="1"/>
  <c r="K24" i="9"/>
  <c r="AG7" i="19" s="1"/>
  <c r="X25" i="9"/>
  <c r="AT8" i="19" s="1"/>
  <c r="AN24" i="9"/>
  <c r="BJ7" i="19" s="1"/>
  <c r="AN20" i="9"/>
  <c r="BK21" i="9"/>
  <c r="BN25" i="9"/>
  <c r="CJ8" i="19" s="1"/>
  <c r="BO21" i="9"/>
  <c r="AG22" i="9"/>
  <c r="AH24" i="9"/>
  <c r="BD7" i="19" s="1"/>
  <c r="CQ21" i="9"/>
  <c r="AN22" i="9"/>
  <c r="AI24" i="9"/>
  <c r="BE7" i="19" s="1"/>
  <c r="AZ24" i="9"/>
  <c r="BV7" i="19" s="1"/>
  <c r="BV20" i="9"/>
  <c r="BN22" i="9"/>
  <c r="U23" i="9"/>
  <c r="AQ6" i="19" s="1"/>
  <c r="BY24" i="9"/>
  <c r="CU7" i="19" s="1"/>
  <c r="V20" i="9"/>
  <c r="Q22" i="9"/>
  <c r="AJ26" i="9"/>
  <c r="BF9" i="19" s="1"/>
  <c r="CN24" i="9"/>
  <c r="DJ7" i="19" s="1"/>
  <c r="AC24" i="9"/>
  <c r="AY7" i="19" s="1"/>
  <c r="AQ25" i="9"/>
  <c r="BM8" i="19" s="1"/>
  <c r="AY23" i="9"/>
  <c r="AR20" i="9"/>
  <c r="L24" i="9"/>
  <c r="AH7" i="19" s="1"/>
  <c r="CL26" i="9"/>
  <c r="DH9" i="19" s="1"/>
  <c r="T25" i="9"/>
  <c r="AP8" i="19" s="1"/>
  <c r="U26" i="9"/>
  <c r="AQ9" i="19" s="1"/>
  <c r="CP24" i="9"/>
  <c r="DL7" i="19" s="1"/>
  <c r="S61" i="9"/>
  <c r="BY23" i="9"/>
  <c r="CU6" i="19" s="1"/>
  <c r="AA24" i="9"/>
  <c r="AW7" i="19" s="1"/>
  <c r="H21" i="9"/>
  <c r="AM22" i="9"/>
  <c r="AZ25" i="9"/>
  <c r="BV8" i="19" s="1"/>
  <c r="AH22" i="9"/>
  <c r="CB23" i="9"/>
  <c r="BA22" i="9"/>
  <c r="AI26" i="9"/>
  <c r="BE9" i="19" s="1"/>
  <c r="CQ26" i="9"/>
  <c r="DM9" i="19" s="1"/>
  <c r="CE23" i="9"/>
  <c r="DA6" i="19" s="1"/>
  <c r="BD26" i="9"/>
  <c r="BZ9" i="19" s="1"/>
  <c r="AB24" i="9"/>
  <c r="AX7" i="19" s="1"/>
  <c r="CC26" i="9"/>
  <c r="CY9" i="19" s="1"/>
  <c r="AW61" i="9"/>
  <c r="FN3" i="19" s="1"/>
  <c r="BW21" i="9"/>
  <c r="BN23" i="9"/>
  <c r="S21" i="9"/>
  <c r="P22" i="9"/>
  <c r="BS24" i="9"/>
  <c r="CO7" i="19" s="1"/>
  <c r="AB23" i="9"/>
  <c r="K25" i="9"/>
  <c r="AG8" i="19" s="1"/>
  <c r="BG25" i="9"/>
  <c r="CC8" i="19" s="1"/>
  <c r="AK23" i="9"/>
  <c r="BE24" i="9"/>
  <c r="CA7" i="19" s="1"/>
  <c r="BJ24" i="9"/>
  <c r="CF7" i="19" s="1"/>
  <c r="AR26" i="9"/>
  <c r="BN9" i="19" s="1"/>
  <c r="K20" i="9"/>
  <c r="BN24" i="9"/>
  <c r="CJ7" i="19" s="1"/>
  <c r="AX20" i="9"/>
  <c r="P61" i="9"/>
  <c r="V22" i="9"/>
  <c r="CE20" i="9"/>
  <c r="DA3" i="19" s="1"/>
  <c r="H25" i="9"/>
  <c r="AD8" i="19" s="1"/>
  <c r="BT22" i="9"/>
  <c r="AL24" i="9"/>
  <c r="BH7" i="19" s="1"/>
  <c r="AA22" i="9"/>
  <c r="AX24" i="9"/>
  <c r="BT7" i="19" s="1"/>
  <c r="CC23" i="9"/>
  <c r="BR26" i="9"/>
  <c r="CN9" i="19" s="1"/>
  <c r="CP26" i="9"/>
  <c r="DL9" i="19" s="1"/>
  <c r="AZ22" i="9"/>
  <c r="J24" i="9"/>
  <c r="AF7" i="19" s="1"/>
  <c r="CA25" i="9"/>
  <c r="CW8" i="19" s="1"/>
  <c r="AI23" i="9"/>
  <c r="BD24" i="9"/>
  <c r="BZ7" i="19" s="1"/>
  <c r="I21" i="9"/>
  <c r="BQ21" i="9"/>
  <c r="CG26" i="9"/>
  <c r="DC9" i="19" s="1"/>
  <c r="CK23" i="9"/>
  <c r="DG6" i="19" s="1"/>
  <c r="AV23" i="9"/>
  <c r="CM21" i="9"/>
  <c r="DI4" i="19" s="1"/>
  <c r="BM22" i="9"/>
  <c r="CI5" i="19" s="1"/>
  <c r="AZ26" i="9"/>
  <c r="BV9" i="19" s="1"/>
  <c r="CE21" i="9"/>
  <c r="DA4" i="19" s="1"/>
  <c r="AT24" i="9"/>
  <c r="BP7" i="19" s="1"/>
  <c r="U22" i="9"/>
  <c r="CO26" i="9"/>
  <c r="DK9" i="19" s="1"/>
  <c r="Z25" i="9"/>
  <c r="AV8" i="19" s="1"/>
  <c r="AV20" i="9"/>
  <c r="AH61" i="9"/>
  <c r="CO20" i="9"/>
  <c r="F26" i="9"/>
  <c r="AB9" i="19" s="1"/>
  <c r="BA25" i="9"/>
  <c r="BW8" i="19" s="1"/>
  <c r="AM20" i="9"/>
  <c r="R24" i="9"/>
  <c r="AN7" i="19" s="1"/>
  <c r="BO23" i="9"/>
  <c r="AO23" i="9"/>
  <c r="AG61" i="9"/>
  <c r="J61" i="9"/>
  <c r="AS20" i="9"/>
  <c r="BH25" i="9"/>
  <c r="CD8" i="19" s="1"/>
  <c r="AB21" i="9"/>
  <c r="AQ24" i="9"/>
  <c r="BM7" i="19" s="1"/>
  <c r="R20" i="9"/>
  <c r="T24" i="9"/>
  <c r="AP7" i="19" s="1"/>
  <c r="Y61" i="9"/>
  <c r="Y20" i="9"/>
  <c r="Y24" i="9"/>
  <c r="AU7" i="19" s="1"/>
  <c r="AZ20" i="9"/>
  <c r="BA21" i="9"/>
  <c r="AX25" i="9"/>
  <c r="BT8" i="19" s="1"/>
  <c r="CG21" i="9"/>
  <c r="DC4" i="19" s="1"/>
  <c r="BM21" i="9"/>
  <c r="CI4" i="19" s="1"/>
  <c r="AL61" i="9"/>
  <c r="BF24" i="9"/>
  <c r="CB7" i="19" s="1"/>
  <c r="BZ20" i="9"/>
  <c r="BB20" i="9"/>
  <c r="O22" i="9"/>
  <c r="BG23" i="9"/>
  <c r="CH20" i="9"/>
  <c r="DD3" i="19" s="1"/>
  <c r="CF25" i="9"/>
  <c r="DB8" i="19" s="1"/>
  <c r="Q20" i="9"/>
  <c r="CO23" i="9"/>
  <c r="BI21" i="9"/>
  <c r="CE4" i="19" s="1"/>
  <c r="L26" i="9"/>
  <c r="AH9" i="19" s="1"/>
  <c r="BM24" i="9"/>
  <c r="CI7" i="19" s="1"/>
  <c r="BZ21" i="9"/>
  <c r="BH23" i="9"/>
  <c r="CB22" i="9"/>
  <c r="K22" i="9"/>
  <c r="CR20" i="9"/>
  <c r="AU23" i="9"/>
  <c r="CQ23" i="9"/>
  <c r="CB21" i="9"/>
  <c r="O26" i="9"/>
  <c r="AK9" i="19" s="1"/>
  <c r="I26" i="9"/>
  <c r="AE9" i="19" s="1"/>
  <c r="BX26" i="9"/>
  <c r="CT9" i="19" s="1"/>
  <c r="BX25" i="9"/>
  <c r="CT8" i="19" s="1"/>
  <c r="CP23" i="9"/>
  <c r="BK20" i="9"/>
  <c r="AU22" i="9"/>
  <c r="CJ25" i="9"/>
  <c r="DF8" i="19" s="1"/>
  <c r="AP23" i="9"/>
  <c r="AK21" i="9"/>
  <c r="BH21" i="9"/>
  <c r="BV26" i="9"/>
  <c r="CR9" i="19" s="1"/>
  <c r="BW26" i="9"/>
  <c r="CS9" i="19" s="1"/>
  <c r="BI26" i="9"/>
  <c r="CE9" i="19" s="1"/>
  <c r="AO26" i="9"/>
  <c r="BK9" i="19" s="1"/>
  <c r="AE26" i="9"/>
  <c r="BA9" i="19" s="1"/>
  <c r="BK26" i="9"/>
  <c r="CG9" i="19" s="1"/>
  <c r="U25" i="9"/>
  <c r="AQ8" i="19" s="1"/>
  <c r="AN23" i="9"/>
  <c r="U24" i="9"/>
  <c r="AQ7" i="19" s="1"/>
  <c r="AE23" i="9"/>
  <c r="BA6" i="19" s="1"/>
  <c r="CL24" i="9"/>
  <c r="DH7" i="19" s="1"/>
  <c r="CM23" i="9"/>
  <c r="DI6" i="19" s="1"/>
  <c r="AA61" i="9"/>
  <c r="BA24" i="9"/>
  <c r="BW7" i="19" s="1"/>
  <c r="BR23" i="9"/>
  <c r="BE25" i="9"/>
  <c r="CA8" i="19" s="1"/>
  <c r="AK20" i="9"/>
  <c r="BV24" i="9"/>
  <c r="CR7" i="19" s="1"/>
  <c r="AF24" i="9"/>
  <c r="BB7" i="19" s="1"/>
  <c r="AQ26" i="9"/>
  <c r="BM9" i="19" s="1"/>
  <c r="CE26" i="9"/>
  <c r="DA9" i="19" s="1"/>
  <c r="N24" i="9"/>
  <c r="AJ7" i="19" s="1"/>
  <c r="AH20" i="9"/>
  <c r="AS25" i="9"/>
  <c r="BO8" i="19" s="1"/>
  <c r="F61" i="9"/>
  <c r="P21" i="9"/>
  <c r="BV25" i="9"/>
  <c r="CR8" i="19" s="1"/>
  <c r="BJ25" i="9"/>
  <c r="CF8" i="19" s="1"/>
  <c r="R21" i="9"/>
  <c r="BU20" i="9"/>
  <c r="CQ3" i="19" s="1"/>
  <c r="CJ22" i="9"/>
  <c r="DF5" i="19" s="1"/>
  <c r="BE23" i="9"/>
  <c r="BJ21" i="9"/>
  <c r="CF4" i="19" s="1"/>
  <c r="Z26" i="9"/>
  <c r="AV9" i="19" s="1"/>
  <c r="AA26" i="9"/>
  <c r="AW9" i="19" s="1"/>
  <c r="BK23" i="9"/>
  <c r="H61" i="9"/>
  <c r="Q26" i="9"/>
  <c r="AM9" i="19" s="1"/>
  <c r="CF24" i="9"/>
  <c r="DB7" i="19" s="1"/>
  <c r="AD23" i="9"/>
  <c r="AZ6" i="19" s="1"/>
  <c r="CJ24" i="9"/>
  <c r="DF7" i="19" s="1"/>
  <c r="BL24" i="9"/>
  <c r="CH7" i="19" s="1"/>
  <c r="AB25" i="9"/>
  <c r="AX8" i="19" s="1"/>
  <c r="AC61" i="9"/>
  <c r="CI25" i="9"/>
  <c r="DE8" i="19" s="1"/>
  <c r="BU22" i="9"/>
  <c r="CQ5" i="19" s="1"/>
  <c r="CD20" i="9"/>
  <c r="CZ3" i="19" s="1"/>
  <c r="BF25" i="9"/>
  <c r="CB8" i="19" s="1"/>
  <c r="M23" i="9"/>
  <c r="AN21" i="9"/>
  <c r="K14" i="15"/>
  <c r="AW24" i="9"/>
  <c r="BS7" i="19" s="1"/>
  <c r="V21" i="9"/>
  <c r="BV21" i="9"/>
  <c r="CF21" i="9"/>
  <c r="DB4" i="19" s="1"/>
  <c r="W23" i="9"/>
  <c r="AS6" i="19" s="1"/>
  <c r="AA25" i="9"/>
  <c r="AW8" i="19" s="1"/>
  <c r="P24" i="9"/>
  <c r="AL7" i="19" s="1"/>
  <c r="AT21" i="9"/>
  <c r="F25" i="9"/>
  <c r="AB8" i="19" s="1"/>
  <c r="G21" i="9"/>
  <c r="AW23" i="9"/>
  <c r="M61" i="9"/>
  <c r="CK26" i="9"/>
  <c r="DG9" i="19" s="1"/>
  <c r="BQ26" i="9"/>
  <c r="CM9" i="19" s="1"/>
  <c r="G25" i="9"/>
  <c r="AC8" i="19" s="1"/>
  <c r="BG24" i="9"/>
  <c r="CC7" i="19" s="1"/>
  <c r="AV25" i="9"/>
  <c r="BR8" i="19" s="1"/>
  <c r="V24" i="9"/>
  <c r="AR7" i="19" s="1"/>
  <c r="CJ21" i="9"/>
  <c r="DF4" i="19" s="1"/>
  <c r="CC20" i="9"/>
  <c r="AN61" i="9"/>
  <c r="BJ22" i="9"/>
  <c r="CF5" i="19" s="1"/>
  <c r="CP21" i="9"/>
  <c r="CA26" i="9"/>
  <c r="CW9" i="19" s="1"/>
  <c r="BB26" i="9"/>
  <c r="BX9" i="19" s="1"/>
  <c r="BH26" i="9"/>
  <c r="CD9" i="19" s="1"/>
  <c r="BT20" i="9"/>
  <c r="BJ20" i="9"/>
  <c r="CF3" i="19" s="1"/>
  <c r="AQ20" i="9"/>
  <c r="AQ21" i="9"/>
  <c r="BI24" i="9"/>
  <c r="CE7" i="19" s="1"/>
  <c r="BA20" i="9"/>
  <c r="I61" i="9"/>
  <c r="R26" i="9"/>
  <c r="AN9" i="19" s="1"/>
  <c r="CF26" i="9"/>
  <c r="DB9" i="19" s="1"/>
  <c r="X26" i="9"/>
  <c r="AT9" i="19" s="1"/>
  <c r="CB26" i="9"/>
  <c r="CX9" i="19" s="1"/>
  <c r="AM26" i="9"/>
  <c r="BI9" i="19" s="1"/>
  <c r="AT20" i="9"/>
  <c r="N61" i="9"/>
  <c r="BF20" i="9"/>
  <c r="W21" i="9"/>
  <c r="P25" i="9"/>
  <c r="AL8" i="19" s="1"/>
  <c r="CB25" i="9"/>
  <c r="CX8" i="19" s="1"/>
  <c r="CR23" i="9"/>
  <c r="CH23" i="9"/>
  <c r="DD6" i="19" s="1"/>
  <c r="AD20" i="9"/>
  <c r="AZ3" i="19" s="1"/>
  <c r="CA23" i="9"/>
  <c r="BU25" i="9"/>
  <c r="CQ8" i="19" s="1"/>
  <c r="H26" i="9"/>
  <c r="AD9" i="19" s="1"/>
  <c r="CN26" i="9"/>
  <c r="DJ9" i="19" s="1"/>
  <c r="L21" i="9"/>
  <c r="CL23" i="9"/>
  <c r="DH6" i="19" s="1"/>
  <c r="BI25" i="9"/>
  <c r="CE8" i="19" s="1"/>
  <c r="CL21" i="9"/>
  <c r="DH4" i="19" s="1"/>
  <c r="BO22" i="9"/>
  <c r="AO20" i="9"/>
  <c r="CG22" i="9"/>
  <c r="DC5" i="19" s="1"/>
  <c r="AZ23" i="9"/>
  <c r="BT21" i="9"/>
  <c r="CA20" i="9"/>
  <c r="CF20" i="9"/>
  <c r="DB3" i="19" s="1"/>
  <c r="Y22" i="9"/>
  <c r="CI26" i="9"/>
  <c r="DE9" i="19" s="1"/>
  <c r="BC26" i="9"/>
  <c r="BY9" i="19" s="1"/>
  <c r="CI22" i="9"/>
  <c r="DE5" i="19" s="1"/>
  <c r="AH21" i="9"/>
  <c r="AH25" i="9"/>
  <c r="BD8" i="19" s="1"/>
  <c r="U61" i="9"/>
  <c r="AK26" i="9"/>
  <c r="BG9" i="19" s="1"/>
  <c r="AV26" i="9"/>
  <c r="BR9" i="19" s="1"/>
  <c r="W61" i="9"/>
  <c r="AG21" i="9"/>
  <c r="W20" i="9"/>
  <c r="CM22" i="9"/>
  <c r="DI5" i="19" s="1"/>
  <c r="AU61" i="9"/>
  <c r="BQ24" i="9"/>
  <c r="CM7" i="19" s="1"/>
  <c r="CO25" i="9"/>
  <c r="DK8" i="19" s="1"/>
  <c r="R61" i="9"/>
  <c r="CE22" i="9"/>
  <c r="DA5" i="19" s="1"/>
  <c r="AU20" i="9"/>
  <c r="AQ23" i="9"/>
  <c r="K14" i="18"/>
  <c r="CK22" i="9"/>
  <c r="DG5" i="19" s="1"/>
  <c r="BP25" i="9"/>
  <c r="CL8" i="19" s="1"/>
  <c r="AT25" i="9"/>
  <c r="BP8" i="19" s="1"/>
  <c r="BD23" i="9"/>
  <c r="AS21" i="9"/>
  <c r="CO21" i="9"/>
  <c r="AS22" i="9"/>
  <c r="BW24" i="9"/>
  <c r="CS7" i="19" s="1"/>
  <c r="X23" i="9"/>
  <c r="AT6" i="19" s="1"/>
  <c r="CJ20" i="9"/>
  <c r="DF3" i="19" s="1"/>
  <c r="AT22" i="9"/>
  <c r="BG20" i="9"/>
  <c r="CK21" i="9"/>
  <c r="DG4" i="19" s="1"/>
  <c r="AY21" i="9"/>
  <c r="W22" i="9"/>
  <c r="U20" i="9"/>
  <c r="AP22" i="9"/>
  <c r="AK61" i="9"/>
  <c r="BS23" i="9"/>
  <c r="BT23" i="9"/>
  <c r="AT61" i="9"/>
  <c r="BL21" i="9"/>
  <c r="AR61" i="9"/>
  <c r="CO22" i="9"/>
  <c r="V61" i="9"/>
  <c r="AL21" i="9"/>
  <c r="S26" i="9"/>
  <c r="AO9" i="19" s="1"/>
  <c r="T26" i="9"/>
  <c r="AP9" i="19" s="1"/>
  <c r="BO24" i="9"/>
  <c r="CK7" i="19" s="1"/>
  <c r="BI23" i="9"/>
  <c r="CE6" i="19" s="1"/>
  <c r="BB24" i="9"/>
  <c r="BX7" i="19" s="1"/>
  <c r="CN21" i="9"/>
  <c r="S25" i="9"/>
  <c r="AO8" i="19" s="1"/>
  <c r="BX23" i="9"/>
  <c r="CT6" i="19" s="1"/>
  <c r="Q24" i="9"/>
  <c r="AM7" i="19" s="1"/>
  <c r="CM26" i="9"/>
  <c r="DI9" i="19" s="1"/>
  <c r="V26" i="9"/>
  <c r="AR9" i="19" s="1"/>
  <c r="AU26" i="9"/>
  <c r="BQ9" i="19" s="1"/>
  <c r="BD25" i="9"/>
  <c r="BZ8" i="19" s="1"/>
  <c r="BV22" i="9"/>
  <c r="AN25" i="9"/>
  <c r="BJ8" i="19" s="1"/>
  <c r="AP20" i="9"/>
  <c r="CD23" i="9"/>
  <c r="CZ6" i="19" s="1"/>
  <c r="Y25" i="9"/>
  <c r="AU8" i="19" s="1"/>
  <c r="BE22" i="9"/>
  <c r="BY20" i="9"/>
  <c r="BQ25" i="9"/>
  <c r="CM8" i="19" s="1"/>
  <c r="BJ26" i="9"/>
  <c r="CF9" i="19" s="1"/>
  <c r="O24" i="9"/>
  <c r="AK7" i="19" s="1"/>
  <c r="BL26" i="9"/>
  <c r="CH9" i="19" s="1"/>
  <c r="BT26" i="9"/>
  <c r="CP9" i="19" s="1"/>
  <c r="BU26" i="9"/>
  <c r="CQ9" i="19" s="1"/>
  <c r="E26" i="9"/>
  <c r="AA9" i="19" s="1"/>
  <c r="AX22" i="9"/>
  <c r="AD24" i="9"/>
  <c r="AZ7" i="19" s="1"/>
  <c r="CA24" i="9"/>
  <c r="CW7" i="19" s="1"/>
  <c r="BI20" i="9"/>
  <c r="CE3" i="19" s="1"/>
  <c r="H24" i="9"/>
  <c r="AD7" i="19" s="1"/>
  <c r="AY25" i="9"/>
  <c r="BU8" i="19" s="1"/>
  <c r="AW25" i="9"/>
  <c r="BS8" i="19" s="1"/>
  <c r="CI21" i="9"/>
  <c r="DE4" i="19" s="1"/>
  <c r="I20" i="9"/>
  <c r="S23" i="9"/>
  <c r="BO25" i="9"/>
  <c r="CK8" i="19" s="1"/>
  <c r="AW21" i="9"/>
  <c r="BN26" i="9"/>
  <c r="CJ9" i="19" s="1"/>
  <c r="AP26" i="9"/>
  <c r="BL9" i="19" s="1"/>
  <c r="I22" i="9"/>
  <c r="CQ20" i="9"/>
  <c r="BD21" i="9"/>
  <c r="CC24" i="9"/>
  <c r="CY7" i="19" s="1"/>
  <c r="CA22" i="9"/>
  <c r="AM23" i="9"/>
  <c r="AD22" i="9"/>
  <c r="AZ5" i="19" s="1"/>
  <c r="AV24" i="9"/>
  <c r="BR7" i="19" s="1"/>
  <c r="Z24" i="9"/>
  <c r="AV7" i="19" s="1"/>
  <c r="R25" i="9"/>
  <c r="AN8" i="19" s="1"/>
  <c r="BL25" i="9"/>
  <c r="CH8" i="19" s="1"/>
  <c r="BU21" i="9"/>
  <c r="CQ4" i="19" s="1"/>
  <c r="G26" i="9"/>
  <c r="AC9" i="19" s="1"/>
  <c r="AF20" i="9"/>
  <c r="CR21" i="9"/>
  <c r="P26" i="9"/>
  <c r="AL9" i="19" s="1"/>
  <c r="AW26" i="9"/>
  <c r="BS9" i="19" s="1"/>
  <c r="BQ23" i="9"/>
  <c r="BH20" i="9"/>
  <c r="AN26" i="9"/>
  <c r="BJ9" i="19" s="1"/>
  <c r="J25" i="9"/>
  <c r="AF8" i="19" s="1"/>
  <c r="AL20" i="9"/>
  <c r="BK25" i="9"/>
  <c r="CG8" i="19" s="1"/>
  <c r="BX24" i="9"/>
  <c r="CT7" i="19" s="1"/>
  <c r="CF22" i="9"/>
  <c r="DB5" i="19" s="1"/>
  <c r="AC20" i="9"/>
  <c r="AC22" i="9"/>
  <c r="AX23" i="9"/>
  <c r="E23" i="9"/>
  <c r="AA6" i="19" s="1"/>
  <c r="BC24" i="9"/>
  <c r="BY7" i="19" s="1"/>
  <c r="E24" i="9"/>
  <c r="AA7" i="19" s="1"/>
  <c r="BV23" i="9"/>
  <c r="CD21" i="9"/>
  <c r="CZ4" i="19" s="1"/>
  <c r="BF23" i="9"/>
  <c r="AB22" i="9"/>
  <c r="AP21" i="9"/>
  <c r="CK20" i="9"/>
  <c r="DG3" i="19" s="1"/>
  <c r="AP61" i="9"/>
  <c r="BN20" i="9"/>
  <c r="CI23" i="9"/>
  <c r="DE6" i="19" s="1"/>
  <c r="AD21" i="9"/>
  <c r="AZ4" i="19" s="1"/>
  <c r="AL22" i="9"/>
  <c r="AB20" i="9"/>
  <c r="AI25" i="9"/>
  <c r="BE8" i="19" s="1"/>
  <c r="CN25" i="9"/>
  <c r="DJ8" i="19" s="1"/>
  <c r="T21" i="9"/>
  <c r="BS20" i="9"/>
  <c r="AJ22" i="9"/>
  <c r="K23" i="9"/>
  <c r="BB25" i="9"/>
  <c r="BX8" i="19" s="1"/>
  <c r="AR21" i="9"/>
  <c r="AF21" i="9"/>
  <c r="J21" i="9"/>
  <c r="CF23" i="9"/>
  <c r="DB6" i="19" s="1"/>
  <c r="AG24" i="9"/>
  <c r="BC7" i="19" s="1"/>
  <c r="F22" i="9"/>
  <c r="CR22" i="9"/>
  <c r="F23" i="9"/>
  <c r="CG25" i="9"/>
  <c r="DC8" i="19" s="1"/>
  <c r="BO20" i="9"/>
  <c r="AO25" i="9"/>
  <c r="BK8" i="19" s="1"/>
  <c r="BP26" i="9"/>
  <c r="CL9" i="19" s="1"/>
  <c r="AG26" i="9"/>
  <c r="BC9" i="19" s="1"/>
  <c r="BN21" i="9"/>
  <c r="T23" i="9"/>
  <c r="AI22" i="9"/>
  <c r="Z61" i="9"/>
  <c r="AO22" i="9"/>
  <c r="BS21" i="9"/>
  <c r="BS22" i="9"/>
  <c r="BX20" i="9"/>
  <c r="CT3" i="19" s="1"/>
  <c r="M26" i="9"/>
  <c r="AI9" i="19" s="1"/>
  <c r="AT26" i="9"/>
  <c r="BP9" i="19" s="1"/>
  <c r="BS26" i="9"/>
  <c r="CO9" i="19" s="1"/>
  <c r="Q25" i="9"/>
  <c r="AM8" i="19" s="1"/>
  <c r="CG24" i="9"/>
  <c r="DC7" i="19" s="1"/>
  <c r="AP24" i="9"/>
  <c r="BL7" i="19" s="1"/>
  <c r="BC20" i="9"/>
  <c r="BF22" i="9"/>
  <c r="AT23" i="9"/>
  <c r="F24" i="9"/>
  <c r="AB7" i="19" s="1"/>
  <c r="CL20" i="9"/>
  <c r="DH3" i="19" s="1"/>
  <c r="AO21" i="9"/>
  <c r="AG20" i="9"/>
  <c r="AR25" i="9"/>
  <c r="BN8" i="19" s="1"/>
  <c r="AF26" i="9"/>
  <c r="BB9" i="19" s="1"/>
  <c r="BC21" i="9"/>
  <c r="CH26" i="9"/>
  <c r="DD9" i="19" s="1"/>
  <c r="BZ26" i="9"/>
  <c r="CV9" i="19" s="1"/>
  <c r="AD26" i="9"/>
  <c r="AZ9" i="19" s="1"/>
  <c r="BR24" i="9"/>
  <c r="CN7" i="19" s="1"/>
  <c r="BC23" i="9"/>
  <c r="AK24" i="9"/>
  <c r="BG7" i="19" s="1"/>
  <c r="BH22" i="9"/>
  <c r="S20" i="9"/>
  <c r="BZ25" i="9"/>
  <c r="CV8" i="19" s="1"/>
  <c r="CD25" i="9"/>
  <c r="CZ8" i="19" s="1"/>
  <c r="I25" i="9"/>
  <c r="AE8" i="19" s="1"/>
  <c r="CN22" i="9"/>
  <c r="AS61" i="9"/>
  <c r="CD24" i="9"/>
  <c r="CZ7" i="19" s="1"/>
  <c r="O20" i="9"/>
  <c r="AY24" i="9"/>
  <c r="BU7" i="19" s="1"/>
  <c r="BL23" i="9"/>
  <c r="AL26" i="9"/>
  <c r="BH9" i="19" s="1"/>
  <c r="O61" i="9"/>
  <c r="AY20" i="9"/>
  <c r="BG22" i="9"/>
  <c r="G22" i="9"/>
  <c r="BH24" i="9"/>
  <c r="CD7" i="19" s="1"/>
  <c r="BQ20" i="9"/>
  <c r="BJ23" i="9"/>
  <c r="CF6" i="19" s="1"/>
  <c r="AX21" i="9"/>
  <c r="K21" i="9"/>
  <c r="CQ25" i="9"/>
  <c r="DM8" i="19" s="1"/>
  <c r="AD61" i="9"/>
  <c r="CB20" i="9"/>
  <c r="BE26" i="9"/>
  <c r="CA9" i="19" s="1"/>
  <c r="AV21" i="9"/>
  <c r="CH24" i="9"/>
  <c r="DD7" i="19" s="1"/>
  <c r="AQ61" i="9"/>
  <c r="AL23" i="9"/>
  <c r="I24" i="9"/>
  <c r="AE7" i="19" s="1"/>
  <c r="M24" i="9"/>
  <c r="AI7" i="19" s="1"/>
  <c r="AB61" i="9"/>
  <c r="CP25" i="9"/>
  <c r="DL8" i="19" s="1"/>
  <c r="M25" i="9"/>
  <c r="AI8" i="19" s="1"/>
  <c r="V25" i="9"/>
  <c r="AR8" i="19" s="1"/>
  <c r="BE21" i="9"/>
  <c r="CH25" i="9"/>
  <c r="DD8" i="19" s="1"/>
  <c r="E25" i="9"/>
  <c r="AA8" i="19" s="1"/>
  <c r="BB23" i="9"/>
  <c r="BM25" i="9"/>
  <c r="CI8" i="19" s="1"/>
  <c r="CM20" i="9"/>
  <c r="DI3" i="19" s="1"/>
  <c r="P20" i="9"/>
  <c r="V23" i="9"/>
  <c r="AR6" i="19" s="1"/>
  <c r="W24" i="9"/>
  <c r="AS7" i="19" s="1"/>
  <c r="M22" i="9"/>
  <c r="CR25" i="9"/>
  <c r="DN8" i="19" s="1"/>
  <c r="M21" i="9"/>
  <c r="BU24" i="9"/>
  <c r="CQ7" i="19" s="1"/>
  <c r="L61" i="9"/>
  <c r="Z20" i="9"/>
  <c r="BR25" i="9"/>
  <c r="CN8" i="19" s="1"/>
  <c r="N22" i="9"/>
  <c r="BW20" i="9"/>
  <c r="CP22" i="9"/>
  <c r="CJ23" i="9"/>
  <c r="DF6" i="19" s="1"/>
  <c r="J22" i="9"/>
  <c r="BC22" i="9"/>
  <c r="X24" i="9"/>
  <c r="AT7" i="19" s="1"/>
  <c r="CO24" i="9"/>
  <c r="DK7" i="19" s="1"/>
  <c r="AC25" i="9"/>
  <c r="AY8" i="19" s="1"/>
  <c r="Z23" i="9"/>
  <c r="AV6" i="19" s="1"/>
  <c r="AK22" i="9"/>
  <c r="AA23" i="9"/>
  <c r="AV22" i="9"/>
  <c r="BG21" i="9"/>
  <c r="BP22" i="9"/>
  <c r="AP25" i="9"/>
  <c r="BL8" i="19" s="1"/>
  <c r="L23" i="9"/>
  <c r="BM20" i="9"/>
  <c r="CI3" i="19" s="1"/>
  <c r="J26" i="9"/>
  <c r="AF9" i="19" s="1"/>
  <c r="L22" i="9"/>
  <c r="BI22" i="9"/>
  <c r="CE5" i="19" s="1"/>
  <c r="AS24" i="9"/>
  <c r="BO7" i="19" s="1"/>
  <c r="N25" i="9"/>
  <c r="AJ8" i="19" s="1"/>
  <c r="K61" i="9"/>
  <c r="CC21" i="9"/>
  <c r="H22" i="9"/>
  <c r="AE24" i="9"/>
  <c r="BA7" i="19" s="1"/>
  <c r="AS23" i="9"/>
  <c r="BM26" i="9"/>
  <c r="CI9" i="19" s="1"/>
  <c r="K26" i="9"/>
  <c r="AG9" i="19" s="1"/>
  <c r="BY26" i="9"/>
  <c r="CU9" i="19" s="1"/>
  <c r="BC25" i="9"/>
  <c r="BY8" i="19" s="1"/>
  <c r="O25" i="9"/>
  <c r="AK8" i="19" s="1"/>
  <c r="CN23" i="9"/>
  <c r="CQ22" i="9"/>
  <c r="AG25" i="9"/>
  <c r="BC8" i="19" s="1"/>
  <c r="BW25" i="9"/>
  <c r="CS8" i="19" s="1"/>
  <c r="AJ25" i="9"/>
  <c r="BF8" i="19" s="1"/>
  <c r="AE20" i="9"/>
  <c r="BA3" i="19" s="1"/>
  <c r="AF23" i="9"/>
  <c r="AC21" i="9"/>
  <c r="CM25" i="9"/>
  <c r="DI8" i="19" s="1"/>
  <c r="AC26" i="9"/>
  <c r="AY9" i="19" s="1"/>
  <c r="CE25" i="9"/>
  <c r="DA8" i="19" s="1"/>
  <c r="BA26" i="9"/>
  <c r="BW9" i="19" s="1"/>
  <c r="X61" i="9"/>
  <c r="BF26" i="9"/>
  <c r="CB9" i="19" s="1"/>
  <c r="X21" i="9"/>
  <c r="Z21" i="9"/>
  <c r="AM25" i="9"/>
  <c r="BI8" i="19" s="1"/>
  <c r="BY25" i="9"/>
  <c r="CU8" i="19" s="1"/>
  <c r="CH22" i="9"/>
  <c r="DD5" i="19" s="1"/>
  <c r="BR20" i="9"/>
  <c r="N20" i="9"/>
  <c r="CE24" i="9"/>
  <c r="DA7" i="19" s="1"/>
  <c r="BL20" i="9"/>
  <c r="BA23" i="9"/>
  <c r="AR23" i="9"/>
  <c r="CR24" i="9"/>
  <c r="DN7" i="19" s="1"/>
  <c r="BX22" i="9"/>
  <c r="CT5" i="19" s="1"/>
  <c r="AB26" i="9"/>
  <c r="AX9" i="19" s="1"/>
  <c r="AM61" i="9"/>
  <c r="AR22" i="9"/>
  <c r="AA21" i="9"/>
  <c r="K14" i="5"/>
  <c r="AU21" i="9"/>
  <c r="F20" i="9"/>
  <c r="CC25" i="9"/>
  <c r="CY8" i="19" s="1"/>
  <c r="BB21" i="9"/>
  <c r="AH23" i="9"/>
  <c r="CG23" i="9"/>
  <c r="DC6" i="19" s="1"/>
  <c r="AJ20" i="9"/>
  <c r="AX26" i="9"/>
  <c r="BT9" i="19" s="1"/>
  <c r="K14" i="21"/>
  <c r="BK22" i="9"/>
  <c r="S24" i="9"/>
  <c r="AO7" i="19" s="1"/>
  <c r="BG26" i="9"/>
  <c r="CC9" i="19" s="1"/>
  <c r="CR26" i="9"/>
  <c r="DN9" i="19" s="1"/>
  <c r="T22" i="9"/>
  <c r="Q21" i="9"/>
  <c r="S22" i="9"/>
  <c r="CQ24" i="9"/>
  <c r="DM7" i="19" s="1"/>
  <c r="BZ23" i="9"/>
  <c r="CK24" i="9"/>
  <c r="DG7" i="19" s="1"/>
  <c r="L25" i="9"/>
  <c r="AH8" i="19" s="1"/>
  <c r="BY22" i="9"/>
  <c r="AD25" i="9"/>
  <c r="AZ8" i="19" s="1"/>
  <c r="CP20" i="9"/>
  <c r="AJ23" i="9"/>
  <c r="G23" i="9"/>
  <c r="AC23" i="9"/>
  <c r="N21" i="9"/>
  <c r="BZ24" i="9"/>
  <c r="CV7" i="19" s="1"/>
  <c r="BD20" i="9"/>
  <c r="AW20" i="9"/>
  <c r="AJ21" i="9"/>
  <c r="AG23" i="9"/>
  <c r="P23" i="9"/>
  <c r="O23" i="9"/>
  <c r="T20" i="9"/>
  <c r="I23" i="9"/>
  <c r="AI61" i="9"/>
  <c r="BF21" i="9"/>
  <c r="Q61" i="9"/>
  <c r="AF22" i="9"/>
  <c r="F21" i="9"/>
  <c r="H20" i="9"/>
  <c r="BR22" i="9"/>
  <c r="O21" i="9"/>
  <c r="AL25" i="9"/>
  <c r="BH8" i="19" s="1"/>
  <c r="CC22" i="9"/>
  <c r="AY26" i="9"/>
  <c r="BU9" i="19" s="1"/>
  <c r="AE22" i="9"/>
  <c r="BA5" i="19" s="1"/>
  <c r="BW23" i="9"/>
  <c r="CL22" i="9"/>
  <c r="DH5" i="19" s="1"/>
  <c r="Q23" i="9"/>
  <c r="L20" i="9"/>
  <c r="BD22" i="9"/>
  <c r="BT25" i="9"/>
  <c r="CP8" i="19" s="1"/>
  <c r="W25" i="9"/>
  <c r="AS8" i="19" s="1"/>
  <c r="BR21" i="9"/>
  <c r="Y23" i="9"/>
  <c r="AU6" i="19" s="1"/>
  <c r="AF61" i="9"/>
  <c r="Y26" i="9"/>
  <c r="AU9" i="19" s="1"/>
  <c r="AH26" i="9"/>
  <c r="BD9" i="19" s="1"/>
  <c r="CB24" i="9"/>
  <c r="CX7" i="19" s="1"/>
  <c r="CK25" i="9"/>
  <c r="DG8" i="19" s="1"/>
  <c r="AW22" i="9"/>
  <c r="T61" i="9"/>
  <c r="Y21" i="9"/>
  <c r="CA21" i="9"/>
  <c r="E61" i="9"/>
  <c r="AQ22" i="9"/>
  <c r="BB22" i="9"/>
  <c r="CJ26" i="9"/>
  <c r="DF9" i="19" s="1"/>
  <c r="G20" i="9"/>
  <c r="CD26" i="9"/>
  <c r="CZ9" i="19" s="1"/>
  <c r="CI24" i="9"/>
  <c r="DE7" i="19" s="1"/>
  <c r="AS26" i="9"/>
  <c r="BO9" i="19" s="1"/>
  <c r="AE61" i="9"/>
  <c r="AJ61" i="9"/>
  <c r="U21" i="9"/>
  <c r="R22" i="9"/>
  <c r="M20" i="9"/>
  <c r="AI21" i="9"/>
  <c r="CN20" i="9"/>
  <c r="AK25" i="9"/>
  <c r="BG8" i="19" s="1"/>
  <c r="BP21" i="9"/>
  <c r="BY21" i="9"/>
  <c r="CL25" i="9"/>
  <c r="DH8" i="19" s="1"/>
  <c r="CM24" i="9"/>
  <c r="DI7" i="19" s="1"/>
  <c r="AV61" i="9"/>
  <c r="FM3" i="19" s="1"/>
  <c r="AA20" i="9"/>
  <c r="W26" i="9"/>
  <c r="AS9" i="19" s="1"/>
  <c r="BP23" i="9"/>
  <c r="AF25" i="9"/>
  <c r="BB8" i="19" s="1"/>
  <c r="AE21" i="9"/>
  <c r="BA4" i="19" s="1"/>
  <c r="K14" i="22"/>
  <c r="BM23" i="9"/>
  <c r="CI6" i="19" s="1"/>
  <c r="AI20" i="9"/>
  <c r="BS25" i="9"/>
  <c r="CO8" i="19" s="1"/>
  <c r="BE20" i="9"/>
  <c r="X20" i="9"/>
  <c r="E20" i="9"/>
  <c r="N26" i="9"/>
  <c r="AJ9" i="19" s="1"/>
  <c r="CQ6"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L10" i="9"/>
  <c r="P8" i="9"/>
  <c r="P9" i="9"/>
  <c r="L8" i="9"/>
  <c r="L9" i="9"/>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K14" i="14" l="1"/>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O96" i="9"/>
  <c r="Y96" i="9"/>
  <c r="AM96" i="9"/>
  <c r="M96" i="9"/>
  <c r="AC96" i="9"/>
  <c r="AA96" i="9"/>
  <c r="AB96" i="9"/>
  <c r="AV96" i="9"/>
  <c r="H96" i="9"/>
  <c r="AF96" i="9"/>
  <c r="Z96" i="9"/>
  <c r="AL96" i="9"/>
  <c r="AI96" i="9"/>
  <c r="AG96" i="9"/>
  <c r="P96" i="9"/>
  <c r="AW96" i="9"/>
  <c r="T96" i="9"/>
  <c r="AE96" i="9"/>
  <c r="F96" i="9"/>
  <c r="X96" i="9"/>
  <c r="AS96" i="9"/>
  <c r="L96" i="9"/>
  <c r="K96" i="9"/>
  <c r="AK96" i="9"/>
  <c r="AP96" i="9"/>
  <c r="S96" i="9"/>
  <c r="AN96" i="9"/>
  <c r="AR96" i="9"/>
  <c r="G96" i="9"/>
  <c r="AD96" i="9"/>
  <c r="J96" i="9"/>
  <c r="AT96" i="9"/>
  <c r="I96" i="9"/>
  <c r="R96" i="9"/>
  <c r="AJ96" i="9"/>
  <c r="N96" i="9"/>
  <c r="W96" i="9"/>
  <c r="Q96" i="9"/>
  <c r="U96" i="9"/>
  <c r="AH96" i="9"/>
  <c r="AQ96" i="9"/>
  <c r="V96" i="9"/>
  <c r="E96" i="9"/>
  <c r="AU96" i="9"/>
  <c r="AO96" i="9"/>
  <c r="J666" i="14"/>
  <c r="J55" i="9"/>
  <c r="H55" i="9"/>
  <c r="AZ55" i="9"/>
  <c r="CC55" i="9"/>
  <c r="BB55" i="9"/>
  <c r="F362" i="14"/>
  <c r="CL55" i="9"/>
  <c r="X55" i="9"/>
  <c r="P55" i="9"/>
  <c r="I134" i="15"/>
  <c r="AK55" i="9"/>
  <c r="G514" i="14"/>
  <c r="CK55" i="9"/>
  <c r="BX55" i="9"/>
  <c r="F96" i="14"/>
  <c r="I286" i="14"/>
  <c r="F1692" i="21"/>
  <c r="H134" i="15"/>
  <c r="BG55" i="9"/>
  <c r="J134" i="15"/>
  <c r="BD55" i="9"/>
  <c r="F666" i="14"/>
  <c r="E55" i="9"/>
  <c r="F172" i="14"/>
  <c r="BK55" i="9"/>
  <c r="BR55" i="9"/>
  <c r="I172" i="15"/>
  <c r="H514" i="14"/>
  <c r="CA55" i="9"/>
  <c r="AU55" i="9"/>
  <c r="F55" i="9"/>
  <c r="J134" i="14"/>
  <c r="G248" i="14"/>
  <c r="J628" i="14"/>
  <c r="H362" i="14"/>
  <c r="CJ55" i="9"/>
  <c r="CN55" i="9"/>
  <c r="CE55" i="9"/>
  <c r="Z55" i="9"/>
  <c r="AS55" i="9"/>
  <c r="J324" i="14"/>
  <c r="G286" i="14"/>
  <c r="W55" i="9"/>
  <c r="AP55" i="9"/>
  <c r="BW55" i="9"/>
  <c r="G172" i="15"/>
  <c r="BT55" i="9"/>
  <c r="I1692" i="21"/>
  <c r="H1692" i="21"/>
  <c r="BI55" i="9"/>
  <c r="Q55" i="9"/>
  <c r="G362" i="14"/>
  <c r="F514" i="14"/>
  <c r="AX55" i="9"/>
  <c r="H400" i="14"/>
  <c r="I628" i="14"/>
  <c r="G1692" i="21"/>
  <c r="I96" i="14"/>
  <c r="H172" i="14"/>
  <c r="CM55" i="9"/>
  <c r="BQ55" i="9"/>
  <c r="G96" i="14"/>
  <c r="G628" i="14"/>
  <c r="J400" i="14"/>
  <c r="G400" i="14"/>
  <c r="H134" i="14"/>
  <c r="I134" i="14"/>
  <c r="F324" i="14"/>
  <c r="AY55" i="9"/>
  <c r="G704" i="14"/>
  <c r="AR55" i="9"/>
  <c r="CQ55" i="9"/>
  <c r="U55" i="9"/>
  <c r="AT55" i="9"/>
  <c r="I514" i="14"/>
  <c r="I248" i="14"/>
  <c r="AN55" i="9"/>
  <c r="CD55" i="9"/>
  <c r="J362" i="14"/>
  <c r="M55" i="9"/>
  <c r="AF55" i="9"/>
  <c r="BN55" i="9"/>
  <c r="AV55" i="9"/>
  <c r="H324" i="14"/>
  <c r="J1692" i="21"/>
  <c r="L55" i="9"/>
  <c r="CB55" i="9"/>
  <c r="I210" i="14"/>
  <c r="CI55" i="9"/>
  <c r="BE55" i="9"/>
  <c r="J1882" i="22"/>
  <c r="F286" i="14"/>
  <c r="F628" i="14"/>
  <c r="H1882" i="22"/>
  <c r="F134" i="14"/>
  <c r="BH55" i="9"/>
  <c r="J286" i="14"/>
  <c r="CP55" i="9"/>
  <c r="F210" i="14"/>
  <c r="AJ55" i="9"/>
  <c r="H704" i="14"/>
  <c r="F1882" i="22"/>
  <c r="I362" i="14"/>
  <c r="I400" i="14"/>
  <c r="J210" i="14"/>
  <c r="J172" i="14"/>
  <c r="J96" i="14"/>
  <c r="AW55" i="9"/>
  <c r="G666" i="14"/>
  <c r="BF55" i="9"/>
  <c r="O55" i="9"/>
  <c r="I324" i="14"/>
  <c r="AC55" i="9"/>
  <c r="AL55" i="9"/>
  <c r="AO55" i="9"/>
  <c r="I1882" i="22"/>
  <c r="CH55" i="9"/>
  <c r="I172" i="14"/>
  <c r="H248" i="14"/>
  <c r="AG55" i="9"/>
  <c r="G134" i="14"/>
  <c r="AD55" i="9"/>
  <c r="BU55" i="9"/>
  <c r="H666" i="14"/>
  <c r="G1882" i="22"/>
  <c r="H286" i="14"/>
  <c r="BA55" i="9"/>
  <c r="V55" i="9"/>
  <c r="I704" i="14"/>
  <c r="F134" i="15"/>
  <c r="F400" i="14"/>
  <c r="S55" i="9"/>
  <c r="CR55" i="9"/>
  <c r="H628" i="14"/>
  <c r="AH55" i="9"/>
  <c r="H210" i="14"/>
  <c r="AE55" i="9"/>
  <c r="G134" i="15"/>
  <c r="F704" i="14"/>
  <c r="BZ55" i="9"/>
  <c r="BP55" i="9"/>
  <c r="BY55" i="9"/>
  <c r="G172" i="14"/>
  <c r="BS55" i="9"/>
  <c r="CG55" i="9"/>
  <c r="BO55" i="9"/>
  <c r="J172" i="15"/>
  <c r="G324" i="14"/>
  <c r="G55" i="9"/>
  <c r="AQ55" i="9"/>
  <c r="J704" i="14"/>
  <c r="BJ55" i="9"/>
  <c r="F172" i="15"/>
  <c r="BL55" i="9"/>
  <c r="H172" i="15"/>
  <c r="I55" i="9"/>
  <c r="Y55" i="9"/>
  <c r="J248" i="14"/>
  <c r="N55" i="9"/>
  <c r="F248" i="14"/>
  <c r="R55" i="9"/>
  <c r="AA55" i="9"/>
  <c r="BC55" i="9"/>
  <c r="BV55" i="9"/>
  <c r="K55" i="9"/>
  <c r="H96" i="14"/>
  <c r="CO55" i="9"/>
  <c r="AM55" i="9"/>
  <c r="I666" i="14"/>
  <c r="AB55" i="9"/>
  <c r="CF55" i="9"/>
  <c r="G210" i="14"/>
  <c r="AI55" i="9"/>
  <c r="T55" i="9"/>
  <c r="J514" i="14"/>
  <c r="BM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J1350" i="21"/>
  <c r="I1426" i="22"/>
  <c r="J970" i="21"/>
  <c r="H970" i="21"/>
  <c r="I1122" i="22"/>
  <c r="I1616" i="21"/>
  <c r="G1616" i="21"/>
  <c r="I1350" i="21"/>
  <c r="F1616" i="21"/>
  <c r="H1578" i="22"/>
  <c r="H1654" i="21"/>
  <c r="G1008" i="22"/>
  <c r="I970" i="21"/>
  <c r="G1350" i="21"/>
  <c r="J1578" i="22"/>
  <c r="I970" i="22"/>
  <c r="J1654" i="21"/>
  <c r="F1654" i="21"/>
  <c r="F1350" i="21"/>
  <c r="F1426" i="22"/>
  <c r="J970" i="22"/>
  <c r="F1578" i="22"/>
  <c r="F970" i="22"/>
  <c r="I1578" i="22"/>
  <c r="F970" i="21"/>
  <c r="J1122" i="22"/>
  <c r="J1616" i="21"/>
  <c r="H1122" i="22"/>
  <c r="I1008" i="22"/>
  <c r="H1008" i="22"/>
  <c r="J1844" i="22"/>
  <c r="I1540" i="22"/>
  <c r="G1540" i="22"/>
  <c r="H1844" i="22"/>
  <c r="G970" i="21"/>
  <c r="G1654" i="21"/>
  <c r="I1654" i="21"/>
  <c r="G970" i="22"/>
  <c r="J1540" i="22"/>
  <c r="H1540" i="22"/>
  <c r="F1122" i="22"/>
  <c r="G1122" i="22"/>
  <c r="G1578" i="22"/>
  <c r="H1350" i="21"/>
  <c r="H1616" i="21"/>
  <c r="G1844" i="22"/>
  <c r="G1426" i="22"/>
  <c r="F1844" i="22"/>
  <c r="J1008" i="22"/>
  <c r="J1426" i="22"/>
  <c r="F1540" i="22"/>
  <c r="H1426" i="22"/>
  <c r="F1008" i="22"/>
  <c r="I1844" i="22"/>
  <c r="H970"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J666" i="22"/>
  <c r="F666" i="21"/>
  <c r="I172" i="22"/>
  <c r="F248" i="21"/>
  <c r="F856" i="21"/>
  <c r="F1540" i="21"/>
  <c r="G324" i="15"/>
  <c r="J1768" i="22"/>
  <c r="I1654" i="22"/>
  <c r="I1236" i="22"/>
  <c r="H742" i="21"/>
  <c r="J666" i="21"/>
  <c r="H856" i="22"/>
  <c r="G96" i="18"/>
  <c r="G476" i="14"/>
  <c r="F58" i="5"/>
  <c r="G210" i="21"/>
  <c r="H1502" i="21"/>
  <c r="G58" i="5"/>
  <c r="F134" i="22"/>
  <c r="F1008" i="21"/>
  <c r="I742" i="22"/>
  <c r="H210" i="21"/>
  <c r="G476" i="22"/>
  <c r="F362" i="21"/>
  <c r="J818" i="21"/>
  <c r="I1160" i="21"/>
  <c r="J1540" i="21"/>
  <c r="G172" i="21"/>
  <c r="H590" i="21"/>
  <c r="F1160" i="22"/>
  <c r="I552" i="22"/>
  <c r="I58" i="15"/>
  <c r="H1350" i="22"/>
  <c r="I1198" i="21"/>
  <c r="H96" i="21"/>
  <c r="G1502" i="22"/>
  <c r="F58" i="15"/>
  <c r="F58" i="13"/>
  <c r="G248" i="22"/>
  <c r="H1236" i="22"/>
  <c r="J628" i="22"/>
  <c r="I438" i="14"/>
  <c r="F552" i="14"/>
  <c r="H628" i="22"/>
  <c r="G704" i="22"/>
  <c r="G1312" i="21"/>
  <c r="I248" i="15"/>
  <c r="I1046" i="21"/>
  <c r="I20" i="15"/>
  <c r="J476" i="22"/>
  <c r="J172" i="5"/>
  <c r="J1046" i="22"/>
  <c r="H1464" i="22"/>
  <c r="G172" i="22"/>
  <c r="H628" i="21"/>
  <c r="G590" i="21"/>
  <c r="I1160" i="22"/>
  <c r="H1312" i="21"/>
  <c r="F628" i="21"/>
  <c r="F172" i="21"/>
  <c r="F1350" i="22"/>
  <c r="G1806" i="22"/>
  <c r="H172" i="22"/>
  <c r="I400" i="21"/>
  <c r="H96" i="18"/>
  <c r="H58" i="22"/>
  <c r="H1388" i="21"/>
  <c r="I286" i="22"/>
  <c r="J58" i="14"/>
  <c r="H932" i="22"/>
  <c r="F96" i="5"/>
  <c r="G818" i="21"/>
  <c r="J742" i="21"/>
  <c r="G210" i="15"/>
  <c r="J1388" i="21"/>
  <c r="F742" i="22"/>
  <c r="H20" i="18"/>
  <c r="H96" i="22"/>
  <c r="G780" i="22"/>
  <c r="F324" i="21"/>
  <c r="J856" i="21"/>
  <c r="F590" i="14"/>
  <c r="J20" i="15"/>
  <c r="H1464" i="21"/>
  <c r="J1160" i="22"/>
  <c r="G1084" i="21"/>
  <c r="H400" i="21"/>
  <c r="G20" i="18"/>
  <c r="F1236" i="21"/>
  <c r="G20" i="14"/>
  <c r="J894" i="22"/>
  <c r="J210" i="5"/>
  <c r="I1730" i="22"/>
  <c r="J324" i="21"/>
  <c r="J704" i="21"/>
  <c r="F438" i="14"/>
  <c r="J552" i="21"/>
  <c r="H438" i="14"/>
  <c r="G1654" i="22"/>
  <c r="I210" i="22"/>
  <c r="G210" i="22"/>
  <c r="I514" i="21"/>
  <c r="F1502" i="22"/>
  <c r="J856" i="22"/>
  <c r="J96" i="21"/>
  <c r="G1464" i="21"/>
  <c r="H210" i="22"/>
  <c r="I1274" i="22"/>
  <c r="J438" i="14"/>
  <c r="G438" i="21"/>
  <c r="H1806" i="22"/>
  <c r="G58" i="13"/>
  <c r="F1806" i="22"/>
  <c r="J210" i="22"/>
  <c r="G58" i="22"/>
  <c r="I58" i="21"/>
  <c r="J172" i="22"/>
  <c r="J58" i="5"/>
  <c r="I362" i="22"/>
  <c r="H172" i="18"/>
  <c r="I286" i="15"/>
  <c r="G1274" i="21"/>
  <c r="H286" i="15"/>
  <c r="G58" i="21"/>
  <c r="J1426" i="21"/>
  <c r="H552" i="22"/>
  <c r="H932" i="21"/>
  <c r="J134" i="5"/>
  <c r="H362" i="21"/>
  <c r="I932" i="22"/>
  <c r="G590" i="22"/>
  <c r="F134" i="18"/>
  <c r="G96" i="13"/>
  <c r="I58" i="18"/>
  <c r="H248" i="15"/>
  <c r="G1046" i="22"/>
  <c r="G20" i="15"/>
  <c r="G894" i="21"/>
  <c r="I1464" i="21"/>
  <c r="H1160" i="21"/>
  <c r="I780" i="21"/>
  <c r="I96" i="5"/>
  <c r="I324" i="22"/>
  <c r="H590" i="22"/>
  <c r="I248" i="22"/>
  <c r="H780" i="21"/>
  <c r="G134" i="5"/>
  <c r="I818" i="21"/>
  <c r="G1160" i="21"/>
  <c r="G1160" i="22"/>
  <c r="J1578" i="21"/>
  <c r="H134" i="22"/>
  <c r="H1274" i="22"/>
  <c r="F96" i="15"/>
  <c r="J514" i="21"/>
  <c r="F514" i="21"/>
  <c r="F210" i="15"/>
  <c r="J1388" i="22"/>
  <c r="F628" i="22"/>
  <c r="H210" i="5"/>
  <c r="G1198" i="22"/>
  <c r="H704" i="22"/>
  <c r="H438" i="21"/>
  <c r="J1274" i="22"/>
  <c r="I1388" i="21"/>
  <c r="I96" i="21"/>
  <c r="F590" i="22"/>
  <c r="G1274" i="22"/>
  <c r="J20" i="5"/>
  <c r="F20" i="18"/>
  <c r="F324" i="22"/>
  <c r="F210" i="22"/>
  <c r="I96" i="15"/>
  <c r="G552" i="21"/>
  <c r="F438" i="22"/>
  <c r="H1046" i="21"/>
  <c r="J210" i="15"/>
  <c r="I134" i="22"/>
  <c r="I210" i="21"/>
  <c r="F134" i="21"/>
  <c r="I1008" i="21"/>
  <c r="H20" i="15"/>
  <c r="H1084" i="21"/>
  <c r="H1578" i="21"/>
  <c r="J58" i="13"/>
  <c r="J1616" i="22"/>
  <c r="F134" i="5"/>
  <c r="J324" i="15"/>
  <c r="J286" i="15"/>
  <c r="F58" i="22"/>
  <c r="G514" i="21"/>
  <c r="F1654" i="22"/>
  <c r="F590" i="21"/>
  <c r="G58" i="15"/>
  <c r="H780" i="22"/>
  <c r="G1768" i="22"/>
  <c r="I628" i="21"/>
  <c r="G1464" i="22"/>
  <c r="J780" i="21"/>
  <c r="G704" i="21"/>
  <c r="J362" i="21"/>
  <c r="G666" i="22"/>
  <c r="I96" i="22"/>
  <c r="I1084" i="21"/>
  <c r="G400" i="22"/>
  <c r="H552" i="21"/>
  <c r="G96" i="22"/>
  <c r="F818" i="22"/>
  <c r="H20" i="14"/>
  <c r="H666" i="22"/>
  <c r="I476" i="21"/>
  <c r="F818" i="21"/>
  <c r="I438" i="21"/>
  <c r="F20" i="15"/>
  <c r="H172" i="5"/>
  <c r="G248" i="21"/>
  <c r="I438" i="22"/>
  <c r="I134" i="18"/>
  <c r="F96" i="18"/>
  <c r="I1388" i="22"/>
  <c r="F932" i="21"/>
  <c r="J1160" i="21"/>
  <c r="F1122" i="21"/>
  <c r="I324" i="15"/>
  <c r="J58" i="18"/>
  <c r="H818" i="21"/>
  <c r="J1236" i="22"/>
  <c r="I514" i="22"/>
  <c r="J932" i="22"/>
  <c r="G248" i="15"/>
  <c r="J1236" i="21"/>
  <c r="H324" i="22"/>
  <c r="H58" i="21"/>
  <c r="J1198" i="22"/>
  <c r="F324" i="15"/>
  <c r="H1008" i="21"/>
  <c r="I172" i="21"/>
  <c r="J248" i="15"/>
  <c r="F780" i="21"/>
  <c r="G20" i="5"/>
  <c r="J1806" i="22"/>
  <c r="G438" i="14"/>
  <c r="I1236" i="21"/>
  <c r="F704" i="22"/>
  <c r="F1084" i="22"/>
  <c r="J172" i="21"/>
  <c r="I1578" i="21"/>
  <c r="H1198" i="22"/>
  <c r="J286" i="22"/>
  <c r="I58" i="5"/>
  <c r="F20" i="14"/>
  <c r="G476" i="21"/>
  <c r="H552" i="14"/>
  <c r="I96" i="18"/>
  <c r="I20" i="5"/>
  <c r="I1502" i="22"/>
  <c r="G1426" i="21"/>
  <c r="G894" i="22"/>
  <c r="J628" i="21"/>
  <c r="G552" i="14"/>
  <c r="H666" i="21"/>
  <c r="F400" i="22"/>
  <c r="F20" i="5"/>
  <c r="I1312" i="21"/>
  <c r="F894" i="21"/>
  <c r="J552" i="14"/>
  <c r="H58" i="5"/>
  <c r="G362" i="22"/>
  <c r="J1084" i="22"/>
  <c r="G1578" i="21"/>
  <c r="H20" i="13"/>
  <c r="J818" i="22"/>
  <c r="I552" i="14"/>
  <c r="H134" i="18"/>
  <c r="J210" i="21"/>
  <c r="I324" i="21"/>
  <c r="J362" i="22"/>
  <c r="F1578" i="21"/>
  <c r="H20" i="5"/>
  <c r="H1768" i="22"/>
  <c r="G1730" i="22"/>
  <c r="H324" i="15"/>
  <c r="I1502" i="21"/>
  <c r="J20" i="22"/>
  <c r="F210" i="5"/>
  <c r="G20" i="21"/>
  <c r="J1084" i="21"/>
  <c r="H1654" i="22"/>
  <c r="H894" i="21"/>
  <c r="F286" i="21"/>
  <c r="G286" i="22"/>
  <c r="J248" i="22"/>
  <c r="F552" i="22"/>
  <c r="G1008" i="21"/>
  <c r="F666" i="22"/>
  <c r="G1122" i="21"/>
  <c r="H438" i="22"/>
  <c r="G932" i="22"/>
  <c r="F476" i="21"/>
  <c r="G438" i="22"/>
  <c r="H362" i="22"/>
  <c r="G1198" i="21"/>
  <c r="I856" i="21"/>
  <c r="I20" i="18"/>
  <c r="G856" i="21"/>
  <c r="F742" i="21"/>
  <c r="F172" i="18"/>
  <c r="H20" i="21"/>
  <c r="F1084" i="21"/>
  <c r="F1236" i="22"/>
  <c r="F894" i="22"/>
  <c r="J476" i="21"/>
  <c r="F552" i="21"/>
  <c r="J1692" i="22"/>
  <c r="F514" i="22"/>
  <c r="H1312" i="22"/>
  <c r="H1198" i="21"/>
  <c r="I400" i="22"/>
  <c r="J96" i="22"/>
  <c r="H20" i="22"/>
  <c r="G286" i="21"/>
  <c r="G172" i="5"/>
  <c r="F1274" i="22"/>
  <c r="I666" i="21"/>
  <c r="F362" i="22"/>
  <c r="F1198" i="22"/>
  <c r="H400" i="22"/>
  <c r="G134" i="22"/>
  <c r="F438" i="21"/>
  <c r="H742" i="22"/>
  <c r="G96" i="5"/>
  <c r="F58" i="14"/>
  <c r="F286" i="15"/>
  <c r="H96" i="5"/>
  <c r="I1426" i="21"/>
  <c r="H96" i="15"/>
  <c r="J780" i="22"/>
  <c r="J590" i="21"/>
  <c r="J476" i="14"/>
  <c r="J96" i="13"/>
  <c r="H514" i="22"/>
  <c r="F1464" i="21"/>
  <c r="G324" i="22"/>
  <c r="H172" i="21"/>
  <c r="F1768" i="22"/>
  <c r="I1084" i="22"/>
  <c r="I286" i="21"/>
  <c r="G96" i="21"/>
  <c r="I1274" i="21"/>
  <c r="G856" i="22"/>
  <c r="J1008" i="21"/>
  <c r="G1046" i="21"/>
  <c r="I1122" i="21"/>
  <c r="I1312" i="22"/>
  <c r="G1350" i="22"/>
  <c r="H58" i="18"/>
  <c r="H476" i="14"/>
  <c r="F1274" i="21"/>
  <c r="H1046" i="22"/>
  <c r="F704" i="21"/>
  <c r="I856" i="22"/>
  <c r="H248" i="21"/>
  <c r="I248" i="21"/>
  <c r="I134" i="21"/>
  <c r="I590" i="14"/>
  <c r="G666" i="21"/>
  <c r="G1692" i="22"/>
  <c r="H58" i="13"/>
  <c r="F1730" i="22"/>
  <c r="I552" i="21"/>
  <c r="J134" i="21"/>
  <c r="F1160" i="21"/>
  <c r="G818" i="22"/>
  <c r="J58" i="21"/>
  <c r="G552" i="22"/>
  <c r="G742" i="21"/>
  <c r="I704" i="21"/>
  <c r="I1768" i="22"/>
  <c r="J932" i="21"/>
  <c r="G20" i="13"/>
  <c r="H856" i="21"/>
  <c r="J286" i="21"/>
  <c r="J172" i="18"/>
  <c r="F1312" i="21"/>
  <c r="J20" i="21"/>
  <c r="I818" i="22"/>
  <c r="J20" i="14"/>
  <c r="J96" i="18"/>
  <c r="I1692" i="22"/>
  <c r="G134" i="18"/>
  <c r="G400" i="21"/>
  <c r="J1046" i="21"/>
  <c r="F58" i="18"/>
  <c r="J1730" i="22"/>
  <c r="G58" i="18"/>
  <c r="F1388" i="21"/>
  <c r="J1350" i="22"/>
  <c r="H134" i="5"/>
  <c r="G324" i="21"/>
  <c r="J1122" i="21"/>
  <c r="F210" i="21"/>
  <c r="J400" i="22"/>
  <c r="G1616" i="22"/>
  <c r="J590" i="22"/>
  <c r="H210" i="15"/>
  <c r="I894" i="21"/>
  <c r="G1540" i="21"/>
  <c r="I1046" i="22"/>
  <c r="F96" i="22"/>
  <c r="F1692" i="22"/>
  <c r="H894" i="22"/>
  <c r="G932" i="21"/>
  <c r="J1464" i="21"/>
  <c r="H1122" i="21"/>
  <c r="H248" i="22"/>
  <c r="I172" i="18"/>
  <c r="H1160" i="22"/>
  <c r="I742" i="21"/>
  <c r="F1616" i="22"/>
  <c r="F856" i="22"/>
  <c r="H1616" i="22"/>
  <c r="G134" i="21"/>
  <c r="G172" i="18"/>
  <c r="F400" i="21"/>
  <c r="J1312" i="21"/>
  <c r="H324" i="21"/>
  <c r="H58" i="15"/>
  <c r="I1616" i="22"/>
  <c r="J1312" i="22"/>
  <c r="F1502" i="21"/>
  <c r="F20" i="22"/>
  <c r="G780" i="21"/>
  <c r="I96" i="13"/>
  <c r="I476" i="22"/>
  <c r="H96" i="13"/>
  <c r="I210" i="5"/>
  <c r="F476" i="14"/>
  <c r="J134" i="18"/>
  <c r="I1806" i="22"/>
  <c r="G20" i="22"/>
  <c r="I58" i="14"/>
  <c r="H818" i="22"/>
  <c r="J58" i="22"/>
  <c r="H1502" i="22"/>
  <c r="I666" i="22"/>
  <c r="J894" i="21"/>
  <c r="F286" i="22"/>
  <c r="G590" i="14"/>
  <c r="J1502" i="21"/>
  <c r="G628" i="21"/>
  <c r="J96" i="15"/>
  <c r="I20" i="22"/>
  <c r="G1312" i="22"/>
  <c r="H476" i="22"/>
  <c r="G1388" i="22"/>
  <c r="I1540" i="21"/>
  <c r="G58" i="14"/>
  <c r="J20" i="13"/>
  <c r="H1692" i="22"/>
  <c r="F1046" i="22"/>
  <c r="G1502" i="21"/>
  <c r="J400" i="21"/>
  <c r="I172" i="5"/>
  <c r="H1730" i="22"/>
  <c r="I476" i="14"/>
  <c r="I134" i="5"/>
  <c r="H1084" i="22"/>
  <c r="F248" i="22"/>
  <c r="G628" i="22"/>
  <c r="G210" i="5"/>
  <c r="I590" i="22"/>
  <c r="G514" i="22"/>
  <c r="J438" i="22"/>
  <c r="I20" i="21"/>
  <c r="H134" i="21"/>
  <c r="G1084" i="22"/>
  <c r="H1426" i="21"/>
  <c r="F780" i="22"/>
  <c r="F1388" i="22"/>
  <c r="H286" i="21"/>
  <c r="I628" i="22"/>
  <c r="I20" i="13"/>
  <c r="I1198" i="22"/>
  <c r="G96" i="15"/>
  <c r="I210" i="15"/>
  <c r="J134" i="22"/>
  <c r="F20" i="13"/>
  <c r="J248" i="21"/>
  <c r="F58" i="21"/>
  <c r="F96" i="21"/>
  <c r="I894" i="22"/>
  <c r="J1198" i="21"/>
  <c r="I58" i="13"/>
  <c r="F1464" i="22"/>
  <c r="F1198" i="21"/>
  <c r="F1312" i="22"/>
  <c r="I1350" i="22"/>
  <c r="H514" i="21"/>
  <c r="J514" i="22"/>
  <c r="J552" i="22"/>
  <c r="J704" i="22"/>
  <c r="J324" i="22"/>
  <c r="J20" i="18"/>
  <c r="F172" i="22"/>
  <c r="G742" i="22"/>
  <c r="G1236" i="22"/>
  <c r="I780" i="22"/>
  <c r="I58" i="22"/>
  <c r="H1274" i="21"/>
  <c r="J742" i="22"/>
  <c r="H476" i="21"/>
  <c r="H1236" i="21"/>
  <c r="J96" i="5"/>
  <c r="J1274" i="21"/>
  <c r="F20" i="21"/>
  <c r="J58" i="15"/>
  <c r="J438" i="21"/>
  <c r="I704" i="22"/>
  <c r="H704" i="21"/>
  <c r="H58" i="14"/>
  <c r="H1388" i="22"/>
  <c r="I1464" i="22"/>
  <c r="F1046" i="21"/>
  <c r="J1654" i="22"/>
  <c r="F1426" i="21"/>
  <c r="J1464" i="22"/>
  <c r="I362" i="21"/>
  <c r="F172" i="5"/>
  <c r="F932" i="22"/>
  <c r="I932" i="21"/>
  <c r="F248" i="15"/>
  <c r="F96" i="13"/>
  <c r="G1236" i="21"/>
  <c r="I590" i="21"/>
  <c r="G362" i="21"/>
  <c r="J1502" i="22"/>
  <c r="G1388" i="21"/>
  <c r="G286" i="15"/>
  <c r="J590" i="14"/>
  <c r="H1540" i="21"/>
  <c r="I20" i="14"/>
  <c r="H286" i="22"/>
  <c r="F476" i="22"/>
  <c r="H590" i="14"/>
  <c r="G13" i="22" l="1"/>
  <c r="G12" i="5"/>
  <c r="K13" i="22"/>
  <c r="G13" i="14"/>
  <c r="G12" i="21"/>
  <c r="G14" i="15"/>
  <c r="G13" i="18"/>
  <c r="G14" i="18"/>
  <c r="K12" i="14"/>
  <c r="K13" i="15"/>
  <c r="G14" i="14"/>
  <c r="K13" i="5"/>
  <c r="G12" i="22"/>
  <c r="G12" i="13"/>
  <c r="G14" i="21"/>
  <c r="G14" i="5"/>
  <c r="G13" i="15"/>
  <c r="G13" i="5"/>
  <c r="K13" i="18"/>
  <c r="G13" i="21"/>
  <c r="K12" i="5"/>
  <c r="K13" i="21"/>
  <c r="K13" i="13"/>
  <c r="G13" i="13"/>
  <c r="G14" i="22"/>
  <c r="K12" i="22"/>
  <c r="K12" i="13"/>
  <c r="K13" i="14"/>
  <c r="G12" i="14"/>
  <c r="G14" i="13"/>
  <c r="G12" i="18"/>
  <c r="G12" i="15"/>
  <c r="K12" i="21"/>
  <c r="K12" i="18"/>
  <c r="K12" i="15"/>
  <c r="G15" i="18" l="1"/>
  <c r="K15" i="14"/>
  <c r="K15" i="5"/>
  <c r="G15" i="22"/>
  <c r="K15" i="15"/>
  <c r="K15" i="13"/>
  <c r="K15" i="18"/>
  <c r="K15" i="22"/>
  <c r="K15" i="21"/>
  <c r="G15" i="14"/>
  <c r="G15" i="21"/>
  <c r="G15" i="15"/>
  <c r="G15" i="13"/>
  <c r="G15" i="5"/>
  <c r="L13" i="14" l="1"/>
  <c r="H14" i="22"/>
  <c r="L13" i="22"/>
  <c r="L14" i="18"/>
  <c r="H14" i="21"/>
  <c r="L14" i="22"/>
  <c r="H12" i="22"/>
  <c r="H13" i="22"/>
  <c r="H13" i="14"/>
  <c r="L12" i="22"/>
  <c r="H14" i="14"/>
  <c r="H12" i="18"/>
  <c r="L12" i="14"/>
  <c r="L13" i="21"/>
  <c r="L12" i="21"/>
  <c r="L14" i="21"/>
  <c r="L14" i="14"/>
  <c r="H13" i="18"/>
  <c r="H14" i="18"/>
  <c r="L13" i="18"/>
  <c r="H12" i="14"/>
  <c r="L12" i="18"/>
  <c r="H12" i="21"/>
  <c r="H13" i="21"/>
  <c r="H13" i="13"/>
  <c r="H12" i="13"/>
  <c r="L13" i="13"/>
  <c r="H14" i="13"/>
  <c r="L14" i="13"/>
  <c r="L12" i="13"/>
  <c r="L13" i="5"/>
  <c r="H12" i="5"/>
  <c r="L14" i="5"/>
  <c r="L12" i="5"/>
  <c r="H14" i="5"/>
  <c r="H13" i="5"/>
  <c r="H13" i="15"/>
  <c r="L14" i="15"/>
  <c r="H12" i="15"/>
  <c r="L13" i="15"/>
  <c r="H14" i="15"/>
  <c r="L12" i="15"/>
  <c r="L15" i="14" l="1"/>
  <c r="L15" i="22"/>
  <c r="H15" i="22"/>
  <c r="L15" i="18"/>
  <c r="H15" i="18"/>
  <c r="L15" i="21"/>
  <c r="H15" i="14"/>
  <c r="L15" i="13"/>
  <c r="L15" i="15"/>
  <c r="H15" i="21"/>
  <c r="L15" i="5"/>
  <c r="H15" i="13"/>
  <c r="H15" i="15"/>
  <c r="H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2A35FDDD-B4C5-4CAA-92C8-BF8441721D2C}">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<sst xmlns="http://schemas.openxmlformats.org/spreadsheetml/2006/main" count="3512" uniqueCount="527">
  <si>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</si>
  <si>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</si>
  <si>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</si>
  <si>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</si>
  <si>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</si>
  <si>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</si>
  <si>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</si>
  <si>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</si>
  <si>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</si>
  <si>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</si>
  <si>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</si>
  <si>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</si>
  <si>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</si>
  <si>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</si>
  <si>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</si>
  <si>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</si>
  <si>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</si>
  <si>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</si>
  <si>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</si>
  <si>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</si>
  <si>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</si>
  <si>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</si>
  <si>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</si>
  <si>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</si>
  <si>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</si>
  <si>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</si>
  <si>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</si>
  <si>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</si>
  <si>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</si>
  <si>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</si>
  <si>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</si>
  <si>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</si>
  <si>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</si>
  <si>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</si>
  <si>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</si>
  <si>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</si>
  <si>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</si>
  <si>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</si>
  <si>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</si>
  <si>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</si>
  <si>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</si>
  <si>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</si>
  <si>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</si>
  <si>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</si>
  <si>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</si>
  <si>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</si>
  <si>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</si>
  <si>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</si>
  <si>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</si>
  <si>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</si>
  <si>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</si>
  <si>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</si>
  <si>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</si>
  <si>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</si>
  <si>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</si>
  <si>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</si>
  <si>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</si>
  <si>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</si>
  <si>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</si>
  <si>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</si>
  <si>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</si>
  <si>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</si>
  <si>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</si>
  <si>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</si>
  <si>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</si>
  <si>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</si>
  <si>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</si>
  <si>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</si>
  <si>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</si>
  <si>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</si>
  <si>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</si>
  <si>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</si>
  <si>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</si>
  <si>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</si>
  <si>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</si>
  <si>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</si>
  <si>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</si>
  <si>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</si>
  <si>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</si>
  <si>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</si>
  <si>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</si>
  <si>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</si>
  <si>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</si>
  <si>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</si>
  <si>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</si>
  <si>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</si>
  <si>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</si>
  <si>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</si>
  <si>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</si>
  <si>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</si>
  <si>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</si>
  <si>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</si>
  <si>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</si>
  <si>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</si>
  <si>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</si>
  <si>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</si>
  <si>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</si>
  <si>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</si>
  <si>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</si>
  <si>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</si>
  <si>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</si>
  <si>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</si>
  <si>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</si>
  <si>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</si>
  <si>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</si>
  <si>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</si>
  <si>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</si>
  <si>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</si>
  <si>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</si>
  <si>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</si>
  <si>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</si>
  <si>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</si>
  <si>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</si>
  <si>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</si>
  <si>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</si>
  <si>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</si>
  <si>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</si>
  <si>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</si>
  <si>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</si>
  <si>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</si>
  <si>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</si>
  <si>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</si>
  <si>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</si>
  <si>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</si>
  <si>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</si>
  <si>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</si>
  <si>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</si>
  <si>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</si>
  <si>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</si>
  <si>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</si>
  <si>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</si>
  <si>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</si>
  <si>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</si>
  <si>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</si>
  <si>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</si>
  <si>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</si>
  <si>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</si>
  <si>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</si>
  <si>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</si>
  <si>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</si>
  <si>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</si>
  <si>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</si>
  <si>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</si>
  <si>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</si>
  <si>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</si>
  <si>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</si>
  <si>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</si>
  <si>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</si>
  <si>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</si>
  <si>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</si>
  <si>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</si>
  <si>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</si>
  <si>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</si>
  <si>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</si>
  <si>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</si>
  <si>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</si>
  <si>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</si>
  <si>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</si>
  <si>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</si>
  <si>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</si>
  <si>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</si>
  <si>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</si>
  <si>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</si>
  <si>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</si>
  <si>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</si>
  <si>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</si>
  <si>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</si>
  <si>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</si>
  <si>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</si>
  <si>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</si>
  <si>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</si>
  <si>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</si>
  <si>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</si>
  <si>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</si>
  <si>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</si>
  <si>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</si>
  <si>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</si>
  <si>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</si>
  <si>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</si>
  <si>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</si>
  <si>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</si>
  <si>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</si>
  <si>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</si>
  <si>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</si>
  <si>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</si>
  <si>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</si>
  <si>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</si>
  <si>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</si>
  <si>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</si>
  <si>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</si>
  <si>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</si>
  <si>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</si>
  <si>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</si>
  <si>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</si>
  <si>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</si>
  <si>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</si>
  <si>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</si>
  <si>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</si>
  <si>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</si>
  <si>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</si>
  <si>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</si>
  <si>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</si>
  <si>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</si>
  <si>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</si>
  <si>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</si>
  <si>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</si>
  <si>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</si>
  <si>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</si>
  <si>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</si>
  <si>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</si>
  <si>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</si>
  <si>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</si>
  <si>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</si>
  <si>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</si>
  <si>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</si>
  <si>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</si>
  <si>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</si>
  <si>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</si>
  <si>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</si>
  <si>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</si>
  <si>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</si>
  <si>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</si>
  <si>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</si>
  <si>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</si>
  <si>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</si>
  <si>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</si>
  <si>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</si>
  <si>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</si>
  <si>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</si>
  <si>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</si>
  <si>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</si>
  <si>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</si>
  <si>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</si>
  <si>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</si>
  <si>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</si>
  <si>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</si>
  <si>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</si>
  <si>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</si>
  <si>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</si>
  <si>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</si>
  <si>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</si>
  <si>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</si>
  <si>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</si>
  <si>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</si>
  <si>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</si>
  <si>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</si>
  <si>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</si>
  <si>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</si>
  <si>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</si>
  <si>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</si>
  <si>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</si>
  <si>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</si>
  <si>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</si>
  <si>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</si>
  <si>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</si>
  <si>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</si>
  <si>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</si>
  <si>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</si>
  <si>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</si>
  <si>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</si>
  <si>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</si>
  <si>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</si>
  <si>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</si>
  <si>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</si>
  <si>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</si>
  <si>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</si>
  <si>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</si>
  <si>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</si>
  <si>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</si>
  <si>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</si>
  <si>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</si>
  <si>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</si>
  <si>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</si>
  <si>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</si>
  <si>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</si>
  <si>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</si>
  <si>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</si>
  <si>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</si>
  <si>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</si>
  <si>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</si>
  <si>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</si>
  <si>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</si>
  <si>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</si>
  <si>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</si>
  <si>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</si>
  <si>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</si>
  <si>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</si>
  <si>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</si>
  <si>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</si>
  <si>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</si>
  <si>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</si>
  <si>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</si>
  <si>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</si>
  <si>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</si>
  <si>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</si>
  <si>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</si>
  <si>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</si>
  <si>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</si>
  <si>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</si>
  <si>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</si>
  <si>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</si>
  <si>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</si>
  <si>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</si>
  <si>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</si>
  <si>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</si>
  <si>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</si>
  <si>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</si>
  <si>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</si>
  <si>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</si>
  <si>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</si>
  <si>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</si>
  <si>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</si>
  <si>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</si>
  <si>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</si>
  <si>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</si>
  <si>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</si>
  <si>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</si>
  <si>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</si>
  <si>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</si>
  <si>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</si>
  <si>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</si>
  <si>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</si>
  <si>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</si>
  <si>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</si>
  <si>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</si>
  <si>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</si>
  <si>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</si>
  <si>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</si>
  <si>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</si>
  <si>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</si>
  <si>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</si>
  <si>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</si>
  <si>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</si>
  <si>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</si>
  <si>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</si>
  <si>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</si>
  <si>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</si>
  <si>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</si>
  <si>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</si>
  <si>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</si>
  <si>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</si>
  <si>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</si>
  <si>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</si>
  <si>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</si>
  <si>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</si>
  <si>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</si>
  <si>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</si>
  <si>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</si>
  <si>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</si>
  <si>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</si>
  <si>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</si>
  <si>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</si>
  <si>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</si>
  <si>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</si>
  <si>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</si>
  <si>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</si>
  <si>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</si>
  <si>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</si>
  <si>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</si>
  <si>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</si>
  <si>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</si>
  <si>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</si>
  <si>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</si>
  <si>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</si>
  <si>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</si>
  <si>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</si>
  <si>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</si>
  <si>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</si>
  <si>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</si>
  <si>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</si>
  <si>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</si>
  <si>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</si>
  <si>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</si>
  <si>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</si>
  <si>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</si>
  <si>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</si>
  <si>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</si>
  <si>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</si>
  <si>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</si>
  <si>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</si>
  <si>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</si>
  <si>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</si>
  <si>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</si>
  <si>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</si>
  <si>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</si>
  <si>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</si>
  <si>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</si>
  <si>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</si>
  <si>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</si>
  <si>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</si>
  <si>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</si>
  <si>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</si>
  <si>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</si>
  <si>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</si>
  <si>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</si>
  <si>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</si>
  <si>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</si>
  <si>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</si>
  <si>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</si>
  <si>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</si>
  <si>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</si>
  <si>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</si>
  <si>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</si>
  <si>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</si>
  <si>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</si>
  <si>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</si>
  <si>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</si>
  <si>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</si>
  <si>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</si>
  <si>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</si>
  <si>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</si>
  <si>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</si>
  <si>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</si>
  <si>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</si>
  <si>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</si>
  <si>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</si>
  <si>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</si>
  <si>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</si>
  <si>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</si>
  <si>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</si>
  <si>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</si>
  <si>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</si>
  <si>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</si>
  <si>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</si>
  <si>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</si>
  <si>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</si>
  <si>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</si>
  <si>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</si>
  <si>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</si>
  <si>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</si>
  <si>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</si>
  <si>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</si>
  <si>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</si>
  <si>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</si>
  <si>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</si>
  <si>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</si>
  <si>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</si>
  <si>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</si>
  <si>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</si>
  <si>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</si>
  <si>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</si>
  <si>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</si>
  <si>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</si>
  <si>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</si>
  <si>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</si>
  <si>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</si>
  <si>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</si>
  <si>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</si>
  <si>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</si>
  <si>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</si>
  <si>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</si>
  <si>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</si>
  <si>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</si>
  <si>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</si>
  <si>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</si>
  <si>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</si>
  <si>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</si>
  <si>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</si>
  <si>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</si>
  <si>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</si>
  <si>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</si>
  <si>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</si>
  <si>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</si>
  <si>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</si>
  <si>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</si>
  <si>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</si>
  <si>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</si>
  <si>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</si>
  <si>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</si>
  <si>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</si>
  <si>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</si>
  <si>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</si>
  <si>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</si>
  <si>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</si>
  <si>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</si>
  <si>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</si>
  <si>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</si>
  <si>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</si>
  <si>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</si>
  <si>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Equipo: Intel(R) Core(TM) i5-1145G7 CPU @ 2.60GHz   2611 MHz, 
RAM: 16,0 GB
Sistema Operativo: Windows 11 Enterprise
Navegador: Google Chrome Versión 114.0.5735.199
Herramientas utilizadas: Tawdis, LightHouse, Wave, Color Contrast Analyzer, Headings map, Screen reader, https://validator.w3.org/nu/</t>
  </si>
  <si>
    <t>Página Web</t>
  </si>
  <si>
    <t>Revisión del dominio solicitado</t>
  </si>
  <si>
    <t>Inicio</t>
  </si>
  <si>
    <t>Madrid Digital</t>
  </si>
  <si>
    <t>https://www.comunidad.madrid/transparencia</t>
  </si>
  <si>
    <t>Portal de la transparencia</t>
  </si>
  <si>
    <t>Información pública</t>
  </si>
  <si>
    <t>https://www.comunidad.madrid/transparencia/</t>
  </si>
  <si>
    <t>Aviso legal</t>
  </si>
  <si>
    <t>https://www.comunidad.madrid/transparencia/aviso-legal</t>
  </si>
  <si>
    <t>Inicio - Aviso Legal</t>
  </si>
  <si>
    <t>Accesibilidad</t>
  </si>
  <si>
    <t>https://www.comunidad.madrid/transparencia/declaracion-accesibilidad</t>
  </si>
  <si>
    <t>Inicio - Declaracion de accesibilidad</t>
  </si>
  <si>
    <t>Tranparencia</t>
  </si>
  <si>
    <t>https://www.comunidad.madrid/transparencia/que-es-transparencia</t>
  </si>
  <si>
    <t>Inicio - Transparencia - que es la tranparencia</t>
  </si>
  <si>
    <t>Organización</t>
  </si>
  <si>
    <t>https://www.comunidad.madrid/transparencia/organizacion-recursos/organizacion</t>
  </si>
  <si>
    <t>Inicio - Organización y recursos - Organización</t>
  </si>
  <si>
    <t>Quejas</t>
  </si>
  <si>
    <t>https://www.comunidad.madrid/transparencia/quejas-y-reclamaciones</t>
  </si>
  <si>
    <t>Inicio - Servicios y procedimientos - Sugerencias, quejas y reclamaciones</t>
  </si>
  <si>
    <t>Contratos</t>
  </si>
  <si>
    <t>https://www.comunidad.madrid/transparencia/contratos</t>
  </si>
  <si>
    <t>Inicio - Presupuestos, contratos y subvenciones - Contratos</t>
  </si>
  <si>
    <t>Consulta</t>
  </si>
  <si>
    <t>https://www.comunidad.madrid/transparencia/normativa-planificacion/consulta-publica</t>
  </si>
  <si>
    <t>Inicio - Normativa y planificación - Consulta Publica</t>
  </si>
  <si>
    <t>Proyecto</t>
  </si>
  <si>
    <t>https://www.comunidad.madrid/transparencia/proyecto-orden-que-se-crea-comision-farmacia-y-productos-sanitarios-cm-y-se-establece-su-composicion</t>
  </si>
  <si>
    <t>Inicio - Normativa y planificación - Consulta Publica - Proyecto</t>
  </si>
  <si>
    <t>Planes y Programas</t>
  </si>
  <si>
    <t>https://www.comunidad.madrid/transparencia/normativa-planificacion/planes-programas</t>
  </si>
  <si>
    <t>Transparencia - Normativa y planificación - Planes y programas</t>
  </si>
  <si>
    <t>Estrategia</t>
  </si>
  <si>
    <t>https://www.comunidad.madrid/transparencia/informacion-institucional/planes-programas/estrategia-seguridad-del-paciente-del-servicio-madrileno</t>
  </si>
  <si>
    <t>Transparencia - Normativa y planificación - Planes y progamas - Estrategia</t>
  </si>
  <si>
    <t>Huella</t>
  </si>
  <si>
    <t>https://www.comunidad.madrid/transparencia/normativa-planificacion/huella-normativa</t>
  </si>
  <si>
    <t>Transparencia - Normativa y planificación - Huella normativa</t>
  </si>
  <si>
    <t>Decreto</t>
  </si>
  <si>
    <t>https://www.comunidad.madrid/transparencia/decreto-del-consejo-gobierno-que-se-establece-estructura-organica-consejeria-familia-juventud-y</t>
  </si>
  <si>
    <t>Transparencia - Normativa y planificación - Huella normativa - Decreto</t>
  </si>
  <si>
    <t>Entidades Locales</t>
  </si>
  <si>
    <t>https://www.comunidad.madrid/transparencia/entidades-locales</t>
  </si>
  <si>
    <t>Transparencia - territorio y transparencia - Entidades locales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</si>
</sst>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39">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xf numFmtId="164" fontId="25" fillId="3" borderId="1" applyProtection="0"/>
    <xf numFmtId="0" fontId="25" fillId="3" borderId="0" applyBorder="0" applyProtection="0">
      <alignment horizontal="right"/>
    </xf>
    <xf numFmtId="164" fontId="25" fillId="0" borderId="1">
      <protection locked="0"/>
    </xf>
    <xf numFmtId="0" fontId="25" fillId="3" borderId="2" applyProtection="0">
      <alignment horizontal="right"/>
    </xf>
    <xf numFmtId="0" fontId="25" fillId="3" borderId="3" applyProtection="0">
      <alignment horizontal="right"/>
    </xf>
    <xf numFmtId="0" fontId="25" fillId="3" borderId="4" applyProtection="0">
      <alignment horizontal="right"/>
    </xf>
    <xf numFmtId="0" fontId="25" fillId="3" borderId="5" applyProtection="0">
      <alignment horizontal="right"/>
    </xf>
    <xf numFmtId="0" fontId="25" fillId="3" borderId="6" applyProtection="0">
      <alignment horizontal="right"/>
    </xf>
    <xf numFmtId="0" fontId="25" fillId="3" borderId="7" applyProtection="0">
      <alignment horizontal="right"/>
    </xf>
    <xf numFmtId="0" fontId="25" fillId="3" borderId="8" applyProtection="0">
      <alignment horizontal="right"/>
    </xf>
    <xf numFmtId="0" fontId="25" fillId="3" borderId="9" applyProtection="0">
      <alignment horizontal="right"/>
    </xf>
    <xf numFmtId="165" fontId="25" fillId="5" borderId="1" applyProtection="0">
      <alignment horizontal="right" wrapText="1"/>
    </xf>
    <xf numFmtId="0" fontId="25" fillId="2" borderId="0" applyBorder="0" applyProtection="0">
      <alignment horizontal="center" vertical="center"/>
    </xf>
  </cellStyleXfs>
  <cellXfs count="265">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28" xfId="0" applyFont="1" applyBorder="1" applyAlignment="1" applyProtection="1">
      <alignment horizontal="left" vertical="center" wrapText="1"/>
      <protection locked="0"/>
    </xf>
    <xf numFmtId="0" fontId="30" fillId="2" borderId="12" xfId="0" applyFont="1" applyBorder="1" applyAlignment="1" applyProtection="1">
      <alignment vertical="center"/>
      <protection locked="0"/>
    </xf>
    <xf numFmtId="0" fontId="25" fillId="2" borderId="10" xfId="38" applyBorder="1" applyProtection="1">
      <alignment horizontal="center" vertical="center"/>
      <protection locked="0"/>
    </xf>
    <xf numFmtId="0" fontId="25" fillId="2" borderId="10" xfId="38"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39">
    <cellStyle name="Background" xfId="5" xr:uid="{00000000-0005-0000-0000-000000000000}"/>
    <cellStyle name="Bad2" xfId="19" xr:uid="{00000000-0005-0000-0000-000001000000}"/>
    <cellStyle name="Bad3" xfId="22" xr:uid="{00000000-0005-0000-0000-000002000000}"/>
    <cellStyle name="Blanco" xfId="21" xr:uid="{00000000-0005-0000-0000-000003000000}"/>
    <cellStyle name="Blanco 2" xfId="38" xr:uid="{B7375767-5F12-4FB8-9037-057C2F84619C}"/>
    <cellStyle name="Card" xfId="6" xr:uid="{00000000-0005-0000-0000-000004000000}"/>
    <cellStyle name="Card 2" xfId="27" xr:uid="{4768C85A-4EB2-45A9-B415-A8C90D2C00A5}"/>
    <cellStyle name="Card B" xfId="13" xr:uid="{00000000-0005-0000-0000-000005000000}"/>
    <cellStyle name="Card B 2" xfId="34" xr:uid="{C1E6ECE2-70C6-43C8-82A8-4FA1B8597911}"/>
    <cellStyle name="Card BL" xfId="14" xr:uid="{00000000-0005-0000-0000-000006000000}"/>
    <cellStyle name="Card BL 2" xfId="35" xr:uid="{8E4C8BAF-99E1-490C-A340-7798D0B477C8}"/>
    <cellStyle name="Card BR" xfId="15" xr:uid="{00000000-0005-0000-0000-000007000000}"/>
    <cellStyle name="Card BR 2" xfId="36" xr:uid="{8871D366-F179-404B-90EE-29B914AA328C}"/>
    <cellStyle name="Card L" xfId="11" xr:uid="{00000000-0005-0000-0000-000008000000}"/>
    <cellStyle name="Card L 2" xfId="32" xr:uid="{A866DC0F-093A-41F4-8C80-4F6117C77F97}"/>
    <cellStyle name="Card R" xfId="12" xr:uid="{00000000-0005-0000-0000-000009000000}"/>
    <cellStyle name="Card R 2" xfId="33" xr:uid="{50FAE493-8680-499E-9D66-A738C5FA46B6}"/>
    <cellStyle name="Card T" xfId="9" xr:uid="{00000000-0005-0000-0000-00000A000000}"/>
    <cellStyle name="Card T 2" xfId="30" xr:uid="{0246986E-032A-4D6C-A358-EEF14B163691}"/>
    <cellStyle name="Card TL" xfId="8" xr:uid="{00000000-0005-0000-0000-00000B000000}"/>
    <cellStyle name="Card TL 2" xfId="29" xr:uid="{04FE2576-CEBC-40CA-AC1A-E6C2C2318864}"/>
    <cellStyle name="Card TR" xfId="10" xr:uid="{00000000-0005-0000-0000-00000C000000}"/>
    <cellStyle name="Card TR 2" xfId="31" xr:uid="{F9E95434-1746-4840-A96F-7D03A832D2CC}"/>
    <cellStyle name="Column Header" xfId="16" xr:uid="{00000000-0005-0000-0000-00000D000000}"/>
    <cellStyle name="Column Header 2" xfId="37" xr:uid="{40421EE2-DB23-4B89-9857-5B75E30B523F}"/>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Input 2" xfId="28" xr:uid="{33397A0F-7838-4C42-98D5-146E0E0097F8}"/>
    <cellStyle name="LINK" xfId="17" xr:uid="{00000000-0005-0000-0000-000013000000}"/>
    <cellStyle name="Normal" xfId="0" builtinId="0"/>
    <cellStyle name="Normal 2" xfId="25" xr:uid="{00000000-0005-0000-0000-000015000000}"/>
    <cellStyle name="Resultado" xfId="1" xr:uid="{00000000-0005-0000-0000-000016000000}"/>
    <cellStyle name="Resultado 2" xfId="26" xr:uid="{689EA186-B1CE-4DBA-8DCB-293ECCB4FF83}"/>
    <cellStyle name="Resultado2" xfId="2" xr:uid="{00000000-0005-0000-0000-000017000000}"/>
    <cellStyle name="Título" xfId="3" xr:uid="{00000000-0005-0000-0000-000018000000}"/>
    <cellStyle name="Título1" xfId="4" xr:uid="{00000000-0005-0000-0000-000019000000}"/>
  </cellStyles>
  <dxfs count="1549">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145897</xdr:rowOff>
    </xdr:from>
    <xdr:to>
      <xdr:col>8</xdr:col>
      <xdr:colOff>351896</xdr:colOff>
      <xdr:row>25</xdr:row>
      <xdr:rowOff>64076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45653</xdr:colOff>
      <xdr:row>203</xdr:row>
      <xdr:rowOff>25401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27013</xdr:rowOff>
    </xdr:from>
    <xdr:to>
      <xdr:col>11</xdr:col>
      <xdr:colOff>30024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7795</xdr:rowOff>
    </xdr:from>
    <xdr:to>
      <xdr:col>11</xdr:col>
      <xdr:colOff>26244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140684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141540</xdr:rowOff>
    </xdr:from>
    <xdr:to>
      <xdr:col>11</xdr:col>
      <xdr:colOff>30023</xdr:colOff>
      <xdr:row>47</xdr:row>
      <xdr:rowOff>69849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583479</xdr:colOff>
      <xdr:row>58</xdr:row>
      <xdr:rowOff>31154</xdr:rowOff>
    </xdr:from>
    <xdr:to>
      <xdr:col>8</xdr:col>
      <xdr:colOff>362860</xdr:colOff>
      <xdr:row>62</xdr:row>
      <xdr:rowOff>101734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87220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362920</xdr:colOff>
      <xdr:row>22</xdr:row>
      <xdr:rowOff>55938</xdr:rowOff>
    </xdr:from>
    <xdr:to>
      <xdr:col>8</xdr:col>
      <xdr:colOff>94359</xdr:colOff>
      <xdr:row>26</xdr:row>
      <xdr:rowOff>140065</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135149</xdr:colOff>
      <xdr:row>100</xdr:row>
      <xdr:rowOff>96274</xdr:rowOff>
    </xdr:from>
    <xdr:to>
      <xdr:col>10</xdr:col>
      <xdr:colOff>665540</xdr:colOff>
      <xdr:row>117</xdr:row>
      <xdr:rowOff>17357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209016</xdr:colOff>
      <xdr:row>63</xdr:row>
      <xdr:rowOff>58556</xdr:rowOff>
    </xdr:from>
    <xdr:to>
      <xdr:col>10</xdr:col>
      <xdr:colOff>968413</xdr:colOff>
      <xdr:row>86</xdr:row>
      <xdr:rowOff>56726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203027</xdr:colOff>
      <xdr:row>26</xdr:row>
      <xdr:rowOff>136463</xdr:rowOff>
    </xdr:from>
    <xdr:to>
      <xdr:col>10</xdr:col>
      <xdr:colOff>782748</xdr:colOff>
      <xdr:row>43</xdr:row>
      <xdr:rowOff>135255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326789</xdr:colOff>
      <xdr:row>58</xdr:row>
      <xdr:rowOff>39621</xdr:rowOff>
    </xdr:from>
    <xdr:to>
      <xdr:col>8</xdr:col>
      <xdr:colOff>116329</xdr:colOff>
      <xdr:row>62</xdr:row>
      <xdr:rowOff>126922</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18760</xdr:rowOff>
    </xdr:from>
    <xdr:to>
      <xdr:col>8</xdr:col>
      <xdr:colOff>73699</xdr:colOff>
      <xdr:row>100</xdr:row>
      <xdr:rowOff>101765</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558861</xdr:colOff>
      <xdr:row>20</xdr:row>
      <xdr:rowOff>79223</xdr:rowOff>
    </xdr:from>
    <xdr:to>
      <xdr:col>8</xdr:col>
      <xdr:colOff>285221</xdr:colOff>
      <xdr:row>25</xdr:row>
      <xdr:rowOff>19627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18041</xdr:rowOff>
    </xdr:from>
    <xdr:to>
      <xdr:col>15</xdr:col>
      <xdr:colOff>2968</xdr:colOff>
      <xdr:row>321</xdr:row>
      <xdr:rowOff>102234</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134369</xdr:rowOff>
    </xdr:from>
    <xdr:to>
      <xdr:col>11</xdr:col>
      <xdr:colOff>145</xdr:colOff>
      <xdr:row>277</xdr:row>
      <xdr:rowOff>18414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20742</xdr:rowOff>
    </xdr:from>
    <xdr:to>
      <xdr:col>11</xdr:col>
      <xdr:colOff>20253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362662</xdr:colOff>
      <xdr:row>175</xdr:row>
      <xdr:rowOff>115969</xdr:rowOff>
    </xdr:from>
    <xdr:to>
      <xdr:col>10</xdr:col>
      <xdr:colOff>964921</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362175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16131</xdr:colOff>
      <xdr:row>100</xdr:row>
      <xdr:rowOff>131197</xdr:rowOff>
    </xdr:from>
    <xdr:to>
      <xdr:col>17</xdr:col>
      <xdr:colOff>247227</xdr:colOff>
      <xdr:row>130</xdr:row>
      <xdr:rowOff>88265</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735965</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521248</xdr:colOff>
      <xdr:row>57</xdr:row>
      <xdr:rowOff>135717</xdr:rowOff>
    </xdr:from>
    <xdr:to>
      <xdr:col>8</xdr:col>
      <xdr:colOff>324759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133060</xdr:rowOff>
    </xdr:from>
    <xdr:to>
      <xdr:col>8</xdr:col>
      <xdr:colOff>287421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17286</xdr:rowOff>
    </xdr:from>
    <xdr:to>
      <xdr:col>8</xdr:col>
      <xdr:colOff>325136</xdr:colOff>
      <xdr:row>139</xdr:row>
      <xdr:rowOff>126630</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554019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554327</xdr:colOff>
      <xdr:row>210</xdr:row>
      <xdr:rowOff>40541</xdr:rowOff>
    </xdr:from>
    <xdr:to>
      <xdr:col>8</xdr:col>
      <xdr:colOff>326723</xdr:colOff>
      <xdr:row>214</xdr:row>
      <xdr:rowOff>133705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583944</xdr:colOff>
      <xdr:row>248</xdr:row>
      <xdr:rowOff>63730</xdr:rowOff>
    </xdr:from>
    <xdr:to>
      <xdr:col>8</xdr:col>
      <xdr:colOff>307129</xdr:colOff>
      <xdr:row>253</xdr:row>
      <xdr:rowOff>12208</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126589</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359435</xdr:colOff>
      <xdr:row>328</xdr:row>
      <xdr:rowOff>55394</xdr:rowOff>
    </xdr:from>
    <xdr:to>
      <xdr:col>14</xdr:col>
      <xdr:colOff>779632</xdr:colOff>
      <xdr:row>359</xdr:row>
      <xdr:rowOff>210610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784068</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546011</xdr:colOff>
      <xdr:row>361</xdr:row>
      <xdr:rowOff>135616</xdr:rowOff>
    </xdr:from>
    <xdr:to>
      <xdr:col>8</xdr:col>
      <xdr:colOff>323464</xdr:colOff>
      <xdr:row>366</xdr:row>
      <xdr:rowOff>17357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784068</xdr:colOff>
      <xdr:row>435</xdr:row>
      <xdr:rowOff>20570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559134</xdr:colOff>
      <xdr:row>400</xdr:row>
      <xdr:rowOff>38100</xdr:rowOff>
    </xdr:from>
    <xdr:to>
      <xdr:col>8</xdr:col>
      <xdr:colOff>326450</xdr:colOff>
      <xdr:row>404</xdr:row>
      <xdr:rowOff>134716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559134</xdr:colOff>
      <xdr:row>438</xdr:row>
      <xdr:rowOff>38100</xdr:rowOff>
    </xdr:from>
    <xdr:to>
      <xdr:col>8</xdr:col>
      <xdr:colOff>326450</xdr:colOff>
      <xdr:row>442</xdr:row>
      <xdr:rowOff>134716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559134</xdr:colOff>
      <xdr:row>476</xdr:row>
      <xdr:rowOff>38100</xdr:rowOff>
    </xdr:from>
    <xdr:to>
      <xdr:col>8</xdr:col>
      <xdr:colOff>326450</xdr:colOff>
      <xdr:row>480</xdr:row>
      <xdr:rowOff>134716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559134</xdr:colOff>
      <xdr:row>514</xdr:row>
      <xdr:rowOff>38100</xdr:rowOff>
    </xdr:from>
    <xdr:to>
      <xdr:col>8</xdr:col>
      <xdr:colOff>326450</xdr:colOff>
      <xdr:row>518</xdr:row>
      <xdr:rowOff>134716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50588</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559134</xdr:colOff>
      <xdr:row>552</xdr:row>
      <xdr:rowOff>38100</xdr:rowOff>
    </xdr:from>
    <xdr:to>
      <xdr:col>8</xdr:col>
      <xdr:colOff>326450</xdr:colOff>
      <xdr:row>556</xdr:row>
      <xdr:rowOff>134716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19831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559134</xdr:colOff>
      <xdr:row>590</xdr:row>
      <xdr:rowOff>38100</xdr:rowOff>
    </xdr:from>
    <xdr:to>
      <xdr:col>8</xdr:col>
      <xdr:colOff>326450</xdr:colOff>
      <xdr:row>594</xdr:row>
      <xdr:rowOff>134716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97415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559134</xdr:colOff>
      <xdr:row>628</xdr:row>
      <xdr:rowOff>38100</xdr:rowOff>
    </xdr:from>
    <xdr:to>
      <xdr:col>8</xdr:col>
      <xdr:colOff>326450</xdr:colOff>
      <xdr:row>632</xdr:row>
      <xdr:rowOff>134716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63583</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559134</xdr:colOff>
      <xdr:row>666</xdr:row>
      <xdr:rowOff>38100</xdr:rowOff>
    </xdr:from>
    <xdr:to>
      <xdr:col>8</xdr:col>
      <xdr:colOff>326450</xdr:colOff>
      <xdr:row>670</xdr:row>
      <xdr:rowOff>134716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55828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55058</xdr:rowOff>
    </xdr:from>
    <xdr:to>
      <xdr:col>8</xdr:col>
      <xdr:colOff>287927</xdr:colOff>
      <xdr:row>708</xdr:row>
      <xdr:rowOff>134530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20108</xdr:rowOff>
    </xdr:from>
    <xdr:to>
      <xdr:col>8</xdr:col>
      <xdr:colOff>322729</xdr:colOff>
      <xdr:row>328</xdr:row>
      <xdr:rowOff>97674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107797</xdr:rowOff>
    </xdr:from>
    <xdr:to>
      <xdr:col>8</xdr:col>
      <xdr:colOff>325438</xdr:colOff>
      <xdr:row>25</xdr:row>
      <xdr:rowOff>45026</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12109</xdr:colOff>
      <xdr:row>100</xdr:row>
      <xdr:rowOff>54151</xdr:rowOff>
    </xdr:from>
    <xdr:to>
      <xdr:col>11</xdr:col>
      <xdr:colOff>18200</xdr:colOff>
      <xdr:row>120</xdr:row>
      <xdr:rowOff>95250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361392</xdr:colOff>
      <xdr:row>62</xdr:row>
      <xdr:rowOff>135815</xdr:rowOff>
    </xdr:from>
    <xdr:to>
      <xdr:col>11</xdr:col>
      <xdr:colOff>19195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363234</xdr:colOff>
      <xdr:row>25</xdr:row>
      <xdr:rowOff>59627</xdr:rowOff>
    </xdr:from>
    <xdr:to>
      <xdr:col>11</xdr:col>
      <xdr:colOff>817684</xdr:colOff>
      <xdr:row>52</xdr:row>
      <xdr:rowOff>134738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475105</xdr:colOff>
      <xdr:row>58</xdr:row>
      <xdr:rowOff>20571</xdr:rowOff>
    </xdr:from>
    <xdr:to>
      <xdr:col>8</xdr:col>
      <xdr:colOff>247501</xdr:colOff>
      <xdr:row>62</xdr:row>
      <xdr:rowOff>93903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559368</xdr:colOff>
      <xdr:row>95</xdr:row>
      <xdr:rowOff>134753</xdr:rowOff>
    </xdr:from>
    <xdr:to>
      <xdr:col>8</xdr:col>
      <xdr:colOff>285728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20532</xdr:colOff>
      <xdr:row>328</xdr:row>
      <xdr:rowOff>133168</xdr:rowOff>
    </xdr:from>
    <xdr:to>
      <xdr:col>11</xdr:col>
      <xdr:colOff>816360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359199</xdr:colOff>
      <xdr:row>291</xdr:row>
      <xdr:rowOff>54787</xdr:rowOff>
    </xdr:from>
    <xdr:to>
      <xdr:col>11</xdr:col>
      <xdr:colOff>19753</xdr:colOff>
      <xdr:row>304</xdr:row>
      <xdr:rowOff>58796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359198</xdr:colOff>
      <xdr:row>253</xdr:row>
      <xdr:rowOff>88308</xdr:rowOff>
    </xdr:from>
    <xdr:to>
      <xdr:col>11</xdr:col>
      <xdr:colOff>12555</xdr:colOff>
      <xdr:row>265</xdr:row>
      <xdr:rowOff>96403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16611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554037</xdr:colOff>
      <xdr:row>209</xdr:row>
      <xdr:rowOff>133350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515206</xdr:colOff>
      <xdr:row>248</xdr:row>
      <xdr:rowOff>58619</xdr:rowOff>
    </xdr:from>
    <xdr:to>
      <xdr:col>8</xdr:col>
      <xdr:colOff>304747</xdr:colOff>
      <xdr:row>252</xdr:row>
      <xdr:rowOff>133855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555096</xdr:colOff>
      <xdr:row>286</xdr:row>
      <xdr:rowOff>82943</xdr:rowOff>
    </xdr:from>
    <xdr:to>
      <xdr:col>8</xdr:col>
      <xdr:colOff>359877</xdr:colOff>
      <xdr:row>291</xdr:row>
      <xdr:rowOff>20531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552329</xdr:colOff>
      <xdr:row>323</xdr:row>
      <xdr:rowOff>107402</xdr:rowOff>
    </xdr:from>
    <xdr:to>
      <xdr:col>8</xdr:col>
      <xdr:colOff>292659</xdr:colOff>
      <xdr:row>328</xdr:row>
      <xdr:rowOff>50376</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590550</xdr:colOff>
      <xdr:row>133</xdr:row>
      <xdr:rowOff>97155</xdr:rowOff>
    </xdr:from>
    <xdr:to>
      <xdr:col>8</xdr:col>
      <xdr:colOff>316910</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587587</xdr:colOff>
      <xdr:row>172</xdr:row>
      <xdr:rowOff>22014</xdr:rowOff>
    </xdr:from>
    <xdr:to>
      <xdr:col>8</xdr:col>
      <xdr:colOff>324742</xdr:colOff>
      <xdr:row>176</xdr:row>
      <xdr:rowOff>97610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358987</xdr:colOff>
      <xdr:row>138</xdr:row>
      <xdr:rowOff>113242</xdr:rowOff>
    </xdr:from>
    <xdr:to>
      <xdr:col>10</xdr:col>
      <xdr:colOff>954358</xdr:colOff>
      <xdr:row>160</xdr:row>
      <xdr:rowOff>20109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19050</xdr:colOff>
      <xdr:row>176</xdr:row>
      <xdr:rowOff>132714</xdr:rowOff>
    </xdr:from>
    <xdr:to>
      <xdr:col>11</xdr:col>
      <xdr:colOff>16251</xdr:colOff>
      <xdr:row>204</xdr:row>
      <xdr:rowOff>18414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591246</xdr:colOff>
      <xdr:row>19</xdr:row>
      <xdr:rowOff>96155</xdr:rowOff>
    </xdr:from>
    <xdr:to>
      <xdr:col>8</xdr:col>
      <xdr:colOff>322686</xdr:colOff>
      <xdr:row>24</xdr:row>
      <xdr:rowOff>21320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28758</xdr:colOff>
      <xdr:row>670</xdr:row>
      <xdr:rowOff>19135</xdr:rowOff>
    </xdr:from>
    <xdr:to>
      <xdr:col>11</xdr:col>
      <xdr:colOff>591608</xdr:colOff>
      <xdr:row>701</xdr:row>
      <xdr:rowOff>208917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9314</xdr:colOff>
      <xdr:row>708</xdr:row>
      <xdr:rowOff>47107</xdr:rowOff>
    </xdr:from>
    <xdr:to>
      <xdr:col>12</xdr:col>
      <xdr:colOff>514774</xdr:colOff>
      <xdr:row>739</xdr:row>
      <xdr:rowOff>237913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17117</xdr:colOff>
      <xdr:row>632</xdr:row>
      <xdr:rowOff>93443</xdr:rowOff>
    </xdr:from>
    <xdr:to>
      <xdr:col>11</xdr:col>
      <xdr:colOff>18666</xdr:colOff>
      <xdr:row>663</xdr:row>
      <xdr:rowOff>92287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21562</xdr:colOff>
      <xdr:row>595</xdr:row>
      <xdr:rowOff>47995</xdr:rowOff>
    </xdr:from>
    <xdr:to>
      <xdr:col>11</xdr:col>
      <xdr:colOff>57401</xdr:colOff>
      <xdr:row>623</xdr:row>
      <xdr:rowOff>56726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21562</xdr:colOff>
      <xdr:row>556</xdr:row>
      <xdr:rowOff>95479</xdr:rowOff>
    </xdr:from>
    <xdr:to>
      <xdr:col>11</xdr:col>
      <xdr:colOff>57401</xdr:colOff>
      <xdr:row>584</xdr:row>
      <xdr:rowOff>28287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21562</xdr:colOff>
      <xdr:row>518</xdr:row>
      <xdr:rowOff>29101</xdr:rowOff>
    </xdr:from>
    <xdr:to>
      <xdr:col>11</xdr:col>
      <xdr:colOff>57401</xdr:colOff>
      <xdr:row>533</xdr:row>
      <xdr:rowOff>17357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969761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95990</xdr:rowOff>
    </xdr:from>
    <xdr:to>
      <xdr:col>11</xdr:col>
      <xdr:colOff>59215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16392</xdr:colOff>
      <xdr:row>405</xdr:row>
      <xdr:rowOff>16396</xdr:rowOff>
    </xdr:from>
    <xdr:to>
      <xdr:col>11</xdr:col>
      <xdr:colOff>19846</xdr:colOff>
      <xdr:row>427</xdr:row>
      <xdr:rowOff>59690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130251</xdr:rowOff>
    </xdr:from>
    <xdr:to>
      <xdr:col>11</xdr:col>
      <xdr:colOff>16126</xdr:colOff>
      <xdr:row>392</xdr:row>
      <xdr:rowOff>20109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358836</xdr:colOff>
      <xdr:row>329</xdr:row>
      <xdr:rowOff>1530</xdr:rowOff>
    </xdr:from>
    <xdr:to>
      <xdr:col>10</xdr:col>
      <xdr:colOff>973161</xdr:colOff>
      <xdr:row>345</xdr:row>
      <xdr:rowOff>59690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59389</xdr:colOff>
      <xdr:row>290</xdr:row>
      <xdr:rowOff>96551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20836</xdr:colOff>
      <xdr:row>252</xdr:row>
      <xdr:rowOff>92427</xdr:rowOff>
    </xdr:from>
    <xdr:to>
      <xdr:col>11</xdr:col>
      <xdr:colOff>39530</xdr:colOff>
      <xdr:row>267</xdr:row>
      <xdr:rowOff>59690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20836</xdr:colOff>
      <xdr:row>214</xdr:row>
      <xdr:rowOff>9367</xdr:rowOff>
    </xdr:from>
    <xdr:to>
      <xdr:col>11</xdr:col>
      <xdr:colOff>39530</xdr:colOff>
      <xdr:row>229</xdr:row>
      <xdr:rowOff>20108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17117</xdr:colOff>
      <xdr:row>177</xdr:row>
      <xdr:rowOff>9178</xdr:rowOff>
    </xdr:from>
    <xdr:to>
      <xdr:col>11</xdr:col>
      <xdr:colOff>266700</xdr:colOff>
      <xdr:row>190</xdr:row>
      <xdr:rowOff>96116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60096</xdr:colOff>
      <xdr:row>139</xdr:row>
      <xdr:rowOff>18272</xdr:rowOff>
    </xdr:from>
    <xdr:to>
      <xdr:col>11</xdr:col>
      <xdr:colOff>59929</xdr:colOff>
      <xdr:row>157</xdr:row>
      <xdr:rowOff>133773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57677</xdr:colOff>
      <xdr:row>100</xdr:row>
      <xdr:rowOff>67002</xdr:rowOff>
    </xdr:from>
    <xdr:to>
      <xdr:col>11</xdr:col>
      <xdr:colOff>66944</xdr:colOff>
      <xdr:row>116</xdr:row>
      <xdr:rowOff>98214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56804</xdr:colOff>
      <xdr:row>62</xdr:row>
      <xdr:rowOff>94903</xdr:rowOff>
    </xdr:from>
    <xdr:to>
      <xdr:col>11</xdr:col>
      <xdr:colOff>438150</xdr:colOff>
      <xdr:row>84</xdr:row>
      <xdr:rowOff>85090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591945</xdr:colOff>
      <xdr:row>57</xdr:row>
      <xdr:rowOff>133329</xdr:rowOff>
    </xdr:from>
    <xdr:to>
      <xdr:col>8</xdr:col>
      <xdr:colOff>364341</xdr:colOff>
      <xdr:row>62</xdr:row>
      <xdr:rowOff>66748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627373</xdr:colOff>
      <xdr:row>95</xdr:row>
      <xdr:rowOff>132153</xdr:rowOff>
    </xdr:from>
    <xdr:to>
      <xdr:col>8</xdr:col>
      <xdr:colOff>358813</xdr:colOff>
      <xdr:row>100</xdr:row>
      <xdr:rowOff>56619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587890</xdr:colOff>
      <xdr:row>134</xdr:row>
      <xdr:rowOff>9396</xdr:rowOff>
    </xdr:from>
    <xdr:to>
      <xdr:col>8</xdr:col>
      <xdr:colOff>340285</xdr:colOff>
      <xdr:row>138</xdr:row>
      <xdr:rowOff>94365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474423</xdr:colOff>
      <xdr:row>172</xdr:row>
      <xdr:rowOff>57202</xdr:rowOff>
    </xdr:from>
    <xdr:to>
      <xdr:col>8</xdr:col>
      <xdr:colOff>269679</xdr:colOff>
      <xdr:row>176</xdr:row>
      <xdr:rowOff>134309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94300</xdr:rowOff>
    </xdr:from>
    <xdr:to>
      <xdr:col>8</xdr:col>
      <xdr:colOff>288518</xdr:colOff>
      <xdr:row>214</xdr:row>
      <xdr:rowOff>21612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132723</xdr:rowOff>
    </xdr:from>
    <xdr:to>
      <xdr:col>8</xdr:col>
      <xdr:colOff>320828</xdr:colOff>
      <xdr:row>252</xdr:row>
      <xdr:rowOff>95987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588331</xdr:colOff>
      <xdr:row>285</xdr:row>
      <xdr:rowOff>112981</xdr:rowOff>
    </xdr:from>
    <xdr:to>
      <xdr:col>8</xdr:col>
      <xdr:colOff>325486</xdr:colOff>
      <xdr:row>290</xdr:row>
      <xdr:rowOff>57196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549747</xdr:colOff>
      <xdr:row>324</xdr:row>
      <xdr:rowOff>16871</xdr:rowOff>
    </xdr:from>
    <xdr:to>
      <xdr:col>8</xdr:col>
      <xdr:colOff>286902</xdr:colOff>
      <xdr:row>328</xdr:row>
      <xdr:rowOff>94315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511693</xdr:colOff>
      <xdr:row>361</xdr:row>
      <xdr:rowOff>132859</xdr:rowOff>
    </xdr:from>
    <xdr:to>
      <xdr:col>8</xdr:col>
      <xdr:colOff>285994</xdr:colOff>
      <xdr:row>366</xdr:row>
      <xdr:rowOff>58753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554224</xdr:colOff>
      <xdr:row>400</xdr:row>
      <xdr:rowOff>18857</xdr:rowOff>
    </xdr:from>
    <xdr:to>
      <xdr:col>8</xdr:col>
      <xdr:colOff>285664</xdr:colOff>
      <xdr:row>404</xdr:row>
      <xdr:rowOff>94516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550972</xdr:colOff>
      <xdr:row>438</xdr:row>
      <xdr:rowOff>20151</xdr:rowOff>
    </xdr:from>
    <xdr:to>
      <xdr:col>8</xdr:col>
      <xdr:colOff>323368</xdr:colOff>
      <xdr:row>442</xdr:row>
      <xdr:rowOff>95872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553342</xdr:colOff>
      <xdr:row>476</xdr:row>
      <xdr:rowOff>35424</xdr:rowOff>
    </xdr:from>
    <xdr:to>
      <xdr:col>8</xdr:col>
      <xdr:colOff>288592</xdr:colOff>
      <xdr:row>480</xdr:row>
      <xdr:rowOff>105124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511798</xdr:colOff>
      <xdr:row>513</xdr:row>
      <xdr:rowOff>132626</xdr:rowOff>
    </xdr:from>
    <xdr:to>
      <xdr:col>8</xdr:col>
      <xdr:colOff>286099</xdr:colOff>
      <xdr:row>518</xdr:row>
      <xdr:rowOff>57036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554949</xdr:colOff>
      <xdr:row>552</xdr:row>
      <xdr:rowOff>39762</xdr:rowOff>
    </xdr:from>
    <xdr:to>
      <xdr:col>8</xdr:col>
      <xdr:colOff>284484</xdr:colOff>
      <xdr:row>556</xdr:row>
      <xdr:rowOff>130238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550504</xdr:colOff>
      <xdr:row>590</xdr:row>
      <xdr:rowOff>135762</xdr:rowOff>
    </xdr:from>
    <xdr:to>
      <xdr:col>8</xdr:col>
      <xdr:colOff>275594</xdr:colOff>
      <xdr:row>595</xdr:row>
      <xdr:rowOff>57511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550504</xdr:colOff>
      <xdr:row>628</xdr:row>
      <xdr:rowOff>22203</xdr:rowOff>
    </xdr:from>
    <xdr:to>
      <xdr:col>8</xdr:col>
      <xdr:colOff>275594</xdr:colOff>
      <xdr:row>632</xdr:row>
      <xdr:rowOff>96583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513495</xdr:colOff>
      <xdr:row>703</xdr:row>
      <xdr:rowOff>131725</xdr:rowOff>
    </xdr:from>
    <xdr:to>
      <xdr:col>8</xdr:col>
      <xdr:colOff>244935</xdr:colOff>
      <xdr:row>708</xdr:row>
      <xdr:rowOff>55196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555270</xdr:colOff>
      <xdr:row>665</xdr:row>
      <xdr:rowOff>132056</xdr:rowOff>
    </xdr:from>
    <xdr:to>
      <xdr:col>8</xdr:col>
      <xdr:colOff>288615</xdr:colOff>
      <xdr:row>670</xdr:row>
      <xdr:rowOff>18396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21128</xdr:colOff>
      <xdr:row>24</xdr:row>
      <xdr:rowOff>58329</xdr:rowOff>
    </xdr:from>
    <xdr:to>
      <xdr:col>19</xdr:col>
      <xdr:colOff>591608</xdr:colOff>
      <xdr:row>55</xdr:row>
      <xdr:rowOff>286616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57237</xdr:rowOff>
    </xdr:from>
    <xdr:to>
      <xdr:col>12</xdr:col>
      <xdr:colOff>92287</xdr:colOff>
      <xdr:row>777</xdr:row>
      <xdr:rowOff>20110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362132</xdr:colOff>
      <xdr:row>936</xdr:row>
      <xdr:rowOff>85676</xdr:rowOff>
    </xdr:from>
    <xdr:to>
      <xdr:col>11</xdr:col>
      <xdr:colOff>320720</xdr:colOff>
      <xdr:row>959</xdr:row>
      <xdr:rowOff>143086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371962</xdr:colOff>
      <xdr:row>824</xdr:row>
      <xdr:rowOff>58929</xdr:rowOff>
    </xdr:from>
    <xdr:to>
      <xdr:col>11</xdr:col>
      <xdr:colOff>20536</xdr:colOff>
      <xdr:row>852</xdr:row>
      <xdr:rowOff>56726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94686</xdr:rowOff>
    </xdr:from>
    <xdr:to>
      <xdr:col>11</xdr:col>
      <xdr:colOff>10031</xdr:colOff>
      <xdr:row>812</xdr:row>
      <xdr:rowOff>98213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542969</xdr:colOff>
      <xdr:row>742</xdr:row>
      <xdr:rowOff>1058</xdr:rowOff>
    </xdr:from>
    <xdr:to>
      <xdr:col>8</xdr:col>
      <xdr:colOff>286295</xdr:colOff>
      <xdr:row>746</xdr:row>
      <xdr:rowOff>58339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551744</xdr:colOff>
      <xdr:row>779</xdr:row>
      <xdr:rowOff>132593</xdr:rowOff>
    </xdr:from>
    <xdr:to>
      <xdr:col>8</xdr:col>
      <xdr:colOff>288085</xdr:colOff>
      <xdr:row>784</xdr:row>
      <xdr:rowOff>54383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56569</xdr:rowOff>
    </xdr:from>
    <xdr:to>
      <xdr:col>8</xdr:col>
      <xdr:colOff>326893</xdr:colOff>
      <xdr:row>822</xdr:row>
      <xdr:rowOff>143181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553992</xdr:colOff>
      <xdr:row>855</xdr:row>
      <xdr:rowOff>133737</xdr:rowOff>
    </xdr:from>
    <xdr:to>
      <xdr:col>8</xdr:col>
      <xdr:colOff>333692</xdr:colOff>
      <xdr:row>860</xdr:row>
      <xdr:rowOff>95153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513757</xdr:colOff>
      <xdr:row>931</xdr:row>
      <xdr:rowOff>97709</xdr:rowOff>
    </xdr:from>
    <xdr:to>
      <xdr:col>8</xdr:col>
      <xdr:colOff>333276</xdr:colOff>
      <xdr:row>936</xdr:row>
      <xdr:rowOff>92995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553568</xdr:colOff>
      <xdr:row>1083</xdr:row>
      <xdr:rowOff>96196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542686</xdr:colOff>
      <xdr:row>1159</xdr:row>
      <xdr:rowOff>86355</xdr:rowOff>
    </xdr:from>
    <xdr:to>
      <xdr:col>8</xdr:col>
      <xdr:colOff>295537</xdr:colOff>
      <xdr:row>1164</xdr:row>
      <xdr:rowOff>85470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553387</xdr:colOff>
      <xdr:row>1197</xdr:row>
      <xdr:rowOff>130950</xdr:rowOff>
    </xdr:from>
    <xdr:to>
      <xdr:col>8</xdr:col>
      <xdr:colOff>305994</xdr:colOff>
      <xdr:row>1203</xdr:row>
      <xdr:rowOff>28970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552471</xdr:colOff>
      <xdr:row>1236</xdr:row>
      <xdr:rowOff>18999</xdr:rowOff>
    </xdr:from>
    <xdr:to>
      <xdr:col>8</xdr:col>
      <xdr:colOff>294918</xdr:colOff>
      <xdr:row>1241</xdr:row>
      <xdr:rowOff>60321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589355</xdr:colOff>
      <xdr:row>1273</xdr:row>
      <xdr:rowOff>130532</xdr:rowOff>
    </xdr:from>
    <xdr:to>
      <xdr:col>8</xdr:col>
      <xdr:colOff>321886</xdr:colOff>
      <xdr:row>1278</xdr:row>
      <xdr:rowOff>16516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513577</xdr:colOff>
      <xdr:row>1312</xdr:row>
      <xdr:rowOff>38906</xdr:rowOff>
    </xdr:from>
    <xdr:to>
      <xdr:col>8</xdr:col>
      <xdr:colOff>283329</xdr:colOff>
      <xdr:row>1316</xdr:row>
      <xdr:rowOff>132732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553582</xdr:colOff>
      <xdr:row>1349</xdr:row>
      <xdr:rowOff>97969</xdr:rowOff>
    </xdr:from>
    <xdr:to>
      <xdr:col>8</xdr:col>
      <xdr:colOff>323334</xdr:colOff>
      <xdr:row>1354</xdr:row>
      <xdr:rowOff>57527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333893</xdr:colOff>
      <xdr:row>860</xdr:row>
      <xdr:rowOff>17798</xdr:rowOff>
    </xdr:from>
    <xdr:to>
      <xdr:col>15</xdr:col>
      <xdr:colOff>321309</xdr:colOff>
      <xdr:row>891</xdr:row>
      <xdr:rowOff>210608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20109</xdr:colOff>
      <xdr:row>929</xdr:row>
      <xdr:rowOff>210610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283075</xdr:colOff>
      <xdr:row>1050</xdr:row>
      <xdr:rowOff>135927</xdr:rowOff>
    </xdr:from>
    <xdr:to>
      <xdr:col>10</xdr:col>
      <xdr:colOff>923429</xdr:colOff>
      <xdr:row>1067</xdr:row>
      <xdr:rowOff>98214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19719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135557</xdr:rowOff>
    </xdr:from>
    <xdr:to>
      <xdr:col>11</xdr:col>
      <xdr:colOff>20631</xdr:colOff>
      <xdr:row>1182</xdr:row>
      <xdr:rowOff>96116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57520</xdr:rowOff>
    </xdr:from>
    <xdr:to>
      <xdr:col>11</xdr:col>
      <xdr:colOff>19813</xdr:colOff>
      <xdr:row>1218</xdr:row>
      <xdr:rowOff>21128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19422</xdr:colOff>
      <xdr:row>1241</xdr:row>
      <xdr:rowOff>133024</xdr:rowOff>
    </xdr:from>
    <xdr:to>
      <xdr:col>11</xdr:col>
      <xdr:colOff>67228</xdr:colOff>
      <xdr:row>1258</xdr:row>
      <xdr:rowOff>59690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362094</xdr:colOff>
      <xdr:row>1277</xdr:row>
      <xdr:rowOff>93358</xdr:rowOff>
    </xdr:from>
    <xdr:to>
      <xdr:col>11</xdr:col>
      <xdr:colOff>479214</xdr:colOff>
      <xdr:row>1308</xdr:row>
      <xdr:rowOff>56727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313848</xdr:colOff>
      <xdr:row>1317</xdr:row>
      <xdr:rowOff>94403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19208</xdr:colOff>
      <xdr:row>1355</xdr:row>
      <xdr:rowOff>1194</xdr:rowOff>
    </xdr:from>
    <xdr:to>
      <xdr:col>11</xdr:col>
      <xdr:colOff>86036</xdr:colOff>
      <xdr:row>1381</xdr:row>
      <xdr:rowOff>98213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10079</xdr:colOff>
      <xdr:row>1392</xdr:row>
      <xdr:rowOff>94620</xdr:rowOff>
    </xdr:from>
    <xdr:to>
      <xdr:col>10</xdr:col>
      <xdr:colOff>607644</xdr:colOff>
      <xdr:row>1405</xdr:row>
      <xdr:rowOff>94384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550279</xdr:colOff>
      <xdr:row>1387</xdr:row>
      <xdr:rowOff>142981</xdr:rowOff>
    </xdr:from>
    <xdr:to>
      <xdr:col>8</xdr:col>
      <xdr:colOff>320796</xdr:colOff>
      <xdr:row>1392</xdr:row>
      <xdr:rowOff>96314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553967</xdr:colOff>
      <xdr:row>1464</xdr:row>
      <xdr:rowOff>9380</xdr:rowOff>
    </xdr:from>
    <xdr:to>
      <xdr:col>8</xdr:col>
      <xdr:colOff>314642</xdr:colOff>
      <xdr:row>1468</xdr:row>
      <xdr:rowOff>134570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517136</xdr:colOff>
      <xdr:row>1501</xdr:row>
      <xdr:rowOff>114724</xdr:rowOff>
    </xdr:from>
    <xdr:to>
      <xdr:col>8</xdr:col>
      <xdr:colOff>250506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552701</xdr:colOff>
      <xdr:row>1616</xdr:row>
      <xdr:rowOff>22213</xdr:rowOff>
    </xdr:from>
    <xdr:to>
      <xdr:col>8</xdr:col>
      <xdr:colOff>286706</xdr:colOff>
      <xdr:row>1620</xdr:row>
      <xdr:rowOff>123273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553336</xdr:colOff>
      <xdr:row>1653</xdr:row>
      <xdr:rowOff>92876</xdr:rowOff>
    </xdr:from>
    <xdr:to>
      <xdr:col>8</xdr:col>
      <xdr:colOff>295596</xdr:colOff>
      <xdr:row>1658</xdr:row>
      <xdr:rowOff>57651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517378</xdr:colOff>
      <xdr:row>1692</xdr:row>
      <xdr:rowOff>54164</xdr:rowOff>
    </xdr:from>
    <xdr:to>
      <xdr:col>8</xdr:col>
      <xdr:colOff>268528</xdr:colOff>
      <xdr:row>1697</xdr:row>
      <xdr:rowOff>18051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21319</xdr:rowOff>
    </xdr:from>
    <xdr:to>
      <xdr:col>10</xdr:col>
      <xdr:colOff>934402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20002</xdr:colOff>
      <xdr:row>1506</xdr:row>
      <xdr:rowOff>132067</xdr:rowOff>
    </xdr:from>
    <xdr:to>
      <xdr:col>11</xdr:col>
      <xdr:colOff>2268</xdr:colOff>
      <xdr:row>1523</xdr:row>
      <xdr:rowOff>47414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9208</xdr:colOff>
      <xdr:row>1620</xdr:row>
      <xdr:rowOff>134147</xdr:rowOff>
    </xdr:from>
    <xdr:to>
      <xdr:col>10</xdr:col>
      <xdr:colOff>892493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9208</xdr:colOff>
      <xdr:row>1658</xdr:row>
      <xdr:rowOff>78630</xdr:rowOff>
    </xdr:from>
    <xdr:to>
      <xdr:col>10</xdr:col>
      <xdr:colOff>932498</xdr:colOff>
      <xdr:row>1671</xdr:row>
      <xdr:rowOff>55765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28998</xdr:colOff>
      <xdr:row>1697</xdr:row>
      <xdr:rowOff>95715</xdr:rowOff>
    </xdr:from>
    <xdr:to>
      <xdr:col>10</xdr:col>
      <xdr:colOff>898419</xdr:colOff>
      <xdr:row>1714</xdr:row>
      <xdr:rowOff>20108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363404</xdr:colOff>
      <xdr:row>1734</xdr:row>
      <xdr:rowOff>133666</xdr:rowOff>
    </xdr:from>
    <xdr:to>
      <xdr:col>12</xdr:col>
      <xdr:colOff>553086</xdr:colOff>
      <xdr:row>1762</xdr:row>
      <xdr:rowOff>130810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17100</xdr:colOff>
      <xdr:row>1772</xdr:row>
      <xdr:rowOff>134649</xdr:rowOff>
    </xdr:from>
    <xdr:to>
      <xdr:col>10</xdr:col>
      <xdr:colOff>858356</xdr:colOff>
      <xdr:row>1799</xdr:row>
      <xdr:rowOff>130810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17678</xdr:colOff>
      <xdr:row>1810</xdr:row>
      <xdr:rowOff>135686</xdr:rowOff>
    </xdr:from>
    <xdr:to>
      <xdr:col>10</xdr:col>
      <xdr:colOff>971550</xdr:colOff>
      <xdr:row>1841</xdr:row>
      <xdr:rowOff>130810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554276</xdr:colOff>
      <xdr:row>1768</xdr:row>
      <xdr:rowOff>28734</xdr:rowOff>
    </xdr:from>
    <xdr:to>
      <xdr:col>8</xdr:col>
      <xdr:colOff>286826</xdr:colOff>
      <xdr:row>1772</xdr:row>
      <xdr:rowOff>94534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512464</xdr:colOff>
      <xdr:row>1805</xdr:row>
      <xdr:rowOff>130180</xdr:rowOff>
    </xdr:from>
    <xdr:to>
      <xdr:col>8</xdr:col>
      <xdr:colOff>250729</xdr:colOff>
      <xdr:row>1810</xdr:row>
      <xdr:rowOff>96650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9208</xdr:colOff>
      <xdr:row>974</xdr:row>
      <xdr:rowOff>133203</xdr:rowOff>
    </xdr:from>
    <xdr:to>
      <xdr:col>11</xdr:col>
      <xdr:colOff>58093</xdr:colOff>
      <xdr:row>987</xdr:row>
      <xdr:rowOff>98309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629623</xdr:colOff>
      <xdr:row>970</xdr:row>
      <xdr:rowOff>16510</xdr:rowOff>
    </xdr:from>
    <xdr:to>
      <xdr:col>8</xdr:col>
      <xdr:colOff>363603</xdr:colOff>
      <xdr:row>974</xdr:row>
      <xdr:rowOff>66770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20003</xdr:colOff>
      <xdr:row>1012</xdr:row>
      <xdr:rowOff>47745</xdr:rowOff>
    </xdr:from>
    <xdr:to>
      <xdr:col>11</xdr:col>
      <xdr:colOff>97368</xdr:colOff>
      <xdr:row>1025</xdr:row>
      <xdr:rowOff>16026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97790</xdr:rowOff>
    </xdr:from>
    <xdr:to>
      <xdr:col>8</xdr:col>
      <xdr:colOff>345728</xdr:colOff>
      <xdr:row>1012</xdr:row>
      <xdr:rowOff>20655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591503</xdr:colOff>
      <xdr:row>1046</xdr:row>
      <xdr:rowOff>16510</xdr:rowOff>
    </xdr:from>
    <xdr:to>
      <xdr:col>8</xdr:col>
      <xdr:colOff>323578</xdr:colOff>
      <xdr:row>1050</xdr:row>
      <xdr:rowOff>67010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20003</xdr:colOff>
      <xdr:row>1126</xdr:row>
      <xdr:rowOff>78645</xdr:rowOff>
    </xdr:from>
    <xdr:to>
      <xdr:col>11</xdr:col>
      <xdr:colOff>40084</xdr:colOff>
      <xdr:row>1142</xdr:row>
      <xdr:rowOff>143086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630029</xdr:colOff>
      <xdr:row>1122</xdr:row>
      <xdr:rowOff>20955</xdr:rowOff>
    </xdr:from>
    <xdr:to>
      <xdr:col>8</xdr:col>
      <xdr:colOff>360199</xdr:colOff>
      <xdr:row>1126</xdr:row>
      <xdr:rowOff>85185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20638</xdr:colOff>
      <xdr:row>1430</xdr:row>
      <xdr:rowOff>93034</xdr:rowOff>
    </xdr:from>
    <xdr:to>
      <xdr:col>10</xdr:col>
      <xdr:colOff>898208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588123</xdr:colOff>
      <xdr:row>1425</xdr:row>
      <xdr:rowOff>123190</xdr:rowOff>
    </xdr:from>
    <xdr:to>
      <xdr:col>8</xdr:col>
      <xdr:colOff>320858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20003</xdr:colOff>
      <xdr:row>1544</xdr:row>
      <xdr:rowOff>136241</xdr:rowOff>
    </xdr:from>
    <xdr:to>
      <xdr:col>10</xdr:col>
      <xdr:colOff>822008</xdr:colOff>
      <xdr:row>1563</xdr:row>
      <xdr:rowOff>17357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513923</xdr:colOff>
      <xdr:row>1540</xdr:row>
      <xdr:rowOff>57785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513187</xdr:colOff>
      <xdr:row>1578</xdr:row>
      <xdr:rowOff>2116</xdr:rowOff>
    </xdr:from>
    <xdr:to>
      <xdr:col>8</xdr:col>
      <xdr:colOff>287197</xdr:colOff>
      <xdr:row>1582</xdr:row>
      <xdr:rowOff>131102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352954</xdr:colOff>
      <xdr:row>1582</xdr:row>
      <xdr:rowOff>134831</xdr:rowOff>
    </xdr:from>
    <xdr:to>
      <xdr:col>14</xdr:col>
      <xdr:colOff>589741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551498</xdr:colOff>
      <xdr:row>1729</xdr:row>
      <xdr:rowOff>123190</xdr:rowOff>
    </xdr:from>
    <xdr:to>
      <xdr:col>8</xdr:col>
      <xdr:colOff>284048</xdr:colOff>
      <xdr:row>1734</xdr:row>
      <xdr:rowOff>96010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104974</xdr:rowOff>
    </xdr:from>
    <xdr:to>
      <xdr:col>10</xdr:col>
      <xdr:colOff>932333</xdr:colOff>
      <xdr:row>1865</xdr:row>
      <xdr:rowOff>57618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550808</xdr:colOff>
      <xdr:row>1843</xdr:row>
      <xdr:rowOff>112712</xdr:rowOff>
    </xdr:from>
    <xdr:to>
      <xdr:col>8</xdr:col>
      <xdr:colOff>286533</xdr:colOff>
      <xdr:row>1848</xdr:row>
      <xdr:rowOff>94880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551620</xdr:colOff>
      <xdr:row>893</xdr:row>
      <xdr:rowOff>104869</xdr:rowOff>
    </xdr:from>
    <xdr:to>
      <xdr:col>8</xdr:col>
      <xdr:colOff>324992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94376</xdr:rowOff>
    </xdr:from>
    <xdr:to>
      <xdr:col>10</xdr:col>
      <xdr:colOff>972609</xdr:colOff>
      <xdr:row>1923</xdr:row>
      <xdr:rowOff>93023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600685</xdr:colOff>
      <xdr:row>1882</xdr:row>
      <xdr:rowOff>66766</xdr:rowOff>
    </xdr:from>
    <xdr:to>
      <xdr:col>8</xdr:col>
      <xdr:colOff>322501</xdr:colOff>
      <xdr:row>1887</xdr:row>
      <xdr:rowOff>55979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22167</xdr:colOff>
      <xdr:row>215</xdr:row>
      <xdr:rowOff>54133</xdr:rowOff>
    </xdr:from>
    <xdr:to>
      <xdr:col>11</xdr:col>
      <xdr:colOff>172719</xdr:colOff>
      <xdr:row>229</xdr:row>
      <xdr:rowOff>130406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21780</xdr:rowOff>
    </xdr:from>
    <xdr:to>
      <xdr:col>11</xdr:col>
      <xdr:colOff>161290</xdr:colOff>
      <xdr:row>195</xdr:row>
      <xdr:rowOff>134620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313754</xdr:colOff>
      <xdr:row>138</xdr:row>
      <xdr:rowOff>85360</xdr:rowOff>
    </xdr:from>
    <xdr:to>
      <xdr:col>11</xdr:col>
      <xdr:colOff>19272</xdr:colOff>
      <xdr:row>164</xdr:row>
      <xdr:rowOff>18076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17145</xdr:colOff>
      <xdr:row>120</xdr:row>
      <xdr:rowOff>94403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359198</xdr:colOff>
      <xdr:row>63</xdr:row>
      <xdr:rowOff>20579</xdr:rowOff>
    </xdr:from>
    <xdr:to>
      <xdr:col>11</xdr:col>
      <xdr:colOff>28694</xdr:colOff>
      <xdr:row>77</xdr:row>
      <xdr:rowOff>94403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134619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516170</xdr:colOff>
      <xdr:row>21</xdr:row>
      <xdr:rowOff>53975</xdr:rowOff>
    </xdr:from>
    <xdr:to>
      <xdr:col>8</xdr:col>
      <xdr:colOff>288838</xdr:colOff>
      <xdr:row>25</xdr:row>
      <xdr:rowOff>95799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551719</xdr:colOff>
      <xdr:row>58</xdr:row>
      <xdr:rowOff>58607</xdr:rowOff>
    </xdr:from>
    <xdr:to>
      <xdr:col>8</xdr:col>
      <xdr:colOff>286923</xdr:colOff>
      <xdr:row>62</xdr:row>
      <xdr:rowOff>85308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517164</xdr:colOff>
      <xdr:row>96</xdr:row>
      <xdr:rowOff>1737</xdr:rowOff>
    </xdr:from>
    <xdr:to>
      <xdr:col>8</xdr:col>
      <xdr:colOff>265703</xdr:colOff>
      <xdr:row>100</xdr:row>
      <xdr:rowOff>18611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250533</xdr:colOff>
      <xdr:row>138</xdr:row>
      <xdr:rowOff>98310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552635</xdr:colOff>
      <xdr:row>171</xdr:row>
      <xdr:rowOff>94054</xdr:rowOff>
    </xdr:from>
    <xdr:to>
      <xdr:col>8</xdr:col>
      <xdr:colOff>323080</xdr:colOff>
      <xdr:row>175</xdr:row>
      <xdr:rowOff>131672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550957</xdr:colOff>
      <xdr:row>210</xdr:row>
      <xdr:rowOff>130850</xdr:rowOff>
    </xdr:from>
    <xdr:to>
      <xdr:col>8</xdr:col>
      <xdr:colOff>288066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6" t="s">
        <v>5</v>
      </c>
      <c r="C9" s="216"/>
      <c r="D9" s="216"/>
      <c r="E9" s="216"/>
      <c r="F9" s="216"/>
      <c r="G9" s="216"/>
      <c r="H9" s="216"/>
      <c r="I9" s="216"/>
      <c r="J9" s="216"/>
      <c r="K9" s="216"/>
      <c r="L9" s="216"/>
      <c r="M9" s="216"/>
      <c r="N9" s="216"/>
    </row>
    <row r="10" spans="1:64" ht="13.5" customHeight="1"/>
    <row r="11" spans="1:64" ht="86.25" customHeight="1">
      <c r="B11" s="216" t="s">
        <v>6</v>
      </c>
      <c r="C11" s="216"/>
      <c r="D11" s="216"/>
      <c r="E11" s="216"/>
      <c r="F11" s="216"/>
      <c r="G11" s="216"/>
      <c r="H11" s="216"/>
      <c r="I11" s="216"/>
      <c r="J11" s="216"/>
      <c r="K11" s="216"/>
      <c r="L11" s="216"/>
      <c r="M11" s="216"/>
      <c r="N11" s="216"/>
    </row>
    <row r="12" spans="1:64" ht="13.5" customHeight="1"/>
    <row r="13" spans="1:64" ht="319.5" customHeight="1">
      <c r="B13" s="216" t="s">
        <v>7</v>
      </c>
      <c r="C13" s="216"/>
      <c r="D13" s="216"/>
      <c r="E13" s="216"/>
      <c r="F13" s="216"/>
      <c r="G13" s="216"/>
      <c r="H13" s="216"/>
      <c r="I13" s="216"/>
      <c r="J13" s="216"/>
      <c r="K13" s="216"/>
      <c r="L13" s="216"/>
      <c r="M13" s="216"/>
      <c r="N13" s="216"/>
    </row>
    <row r="15" spans="1:64" ht="274.5" customHeight="1">
      <c r="B15" s="217" t="s">
        <v>8</v>
      </c>
      <c r="C15" s="217"/>
      <c r="D15" s="217"/>
      <c r="E15" s="217"/>
      <c r="F15" s="217"/>
      <c r="G15" s="217"/>
      <c r="H15" s="217"/>
      <c r="I15" s="217"/>
      <c r="J15" s="217"/>
      <c r="K15" s="217"/>
      <c r="L15" s="217"/>
      <c r="M15" s="217"/>
      <c r="N15" s="217"/>
    </row>
    <row r="17" spans="2:14" ht="29.25" customHeight="1">
      <c r="B17" s="218" t="s">
        <v>9</v>
      </c>
      <c r="C17" s="218"/>
      <c r="D17" s="218"/>
      <c r="E17" s="218"/>
      <c r="F17" s="218"/>
      <c r="G17" s="218"/>
      <c r="H17" s="218"/>
      <c r="I17" s="218"/>
      <c r="J17" s="218"/>
      <c r="K17" s="218"/>
      <c r="L17" s="218"/>
      <c r="M17" s="218"/>
      <c r="N17" s="218"/>
    </row>
    <row r="19" spans="2:14" ht="17.5">
      <c r="B19" s="168" t="s">
        <v>10</v>
      </c>
      <c r="C19" s="167"/>
      <c r="D19" s="167"/>
      <c r="E19" s="167"/>
      <c r="F19" s="167"/>
      <c r="G19" s="167"/>
      <c r="H19" s="167"/>
      <c r="I19" s="167"/>
      <c r="J19" s="167"/>
      <c r="K19" s="167"/>
      <c r="L19" s="167"/>
      <c r="M19" s="167"/>
      <c r="N19" s="167"/>
    </row>
    <row r="20" spans="2:14" ht="18.5">
      <c r="B20" s="165" t="s">
        <v>11</v>
      </c>
      <c r="C20" s="166"/>
      <c r="D20" s="166"/>
      <c r="E20" s="166"/>
      <c r="F20" s="166"/>
      <c r="G20" s="166"/>
      <c r="H20" s="166"/>
      <c r="I20" s="166"/>
      <c r="J20" s="166"/>
      <c r="K20" s="166"/>
      <c r="L20" s="166"/>
      <c r="M20" s="166"/>
      <c r="N20" s="166"/>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199" zoomScale="80" zoomScaleNormal="80" workbookViewId="0">
      <selection activeCell="D223" sqref="D223"/>
    </sheetView>
  </sheetViews>
  <sheetFormatPr baseColWidth="10" defaultColWidth="11.54296875" defaultRowHeight="12.5"/>
  <cols>
    <col min="1" max="1" width="7.90625" style="14" customWidth="1"/>
    <col min="2" max="2" width="16.08984375" style="14" customWidth="1"/>
    <col min="3" max="3" width="71"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8.899999999999999" customHeight="1">
      <c r="B8" s="236" t="s">
        <v>238</v>
      </c>
      <c r="C8" s="236"/>
      <c r="D8" s="236"/>
      <c r="E8" s="236"/>
      <c r="F8" s="236"/>
      <c r="G8" s="236"/>
      <c r="H8" s="236"/>
      <c r="I8" s="236"/>
      <c r="J8" s="236"/>
      <c r="K8" s="236"/>
      <c r="L8" s="236"/>
      <c r="M8" s="236"/>
      <c r="N8" s="18"/>
      <c r="O8" s="18"/>
    </row>
    <row r="9" spans="1:64" ht="30" customHeight="1">
      <c r="B9" s="235" t="s">
        <v>84</v>
      </c>
      <c r="C9" s="235"/>
      <c r="D9" s="235"/>
      <c r="E9" s="235"/>
      <c r="F9" s="235"/>
      <c r="G9" s="235"/>
      <c r="H9" s="235"/>
      <c r="I9" s="235"/>
      <c r="J9" s="235"/>
      <c r="K9" s="235"/>
      <c r="L9" s="235"/>
      <c r="M9" s="235"/>
      <c r="N9" s="18"/>
      <c r="O9" s="18"/>
    </row>
    <row r="10" spans="1:64" ht="17.149999999999999" customHeight="1" thickBot="1">
      <c r="B10" s="159"/>
      <c r="C10" s="159"/>
      <c r="D10" s="159"/>
      <c r="E10" s="159"/>
      <c r="F10" s="159"/>
      <c r="G10" s="159"/>
      <c r="H10" s="159"/>
      <c r="I10" s="159"/>
      <c r="J10" s="159"/>
      <c r="K10" s="159"/>
      <c r="L10" s="159"/>
      <c r="M10" s="159"/>
      <c r="N10" s="18"/>
      <c r="O10" s="18"/>
      <c r="P10" s="18"/>
      <c r="Q10" s="18"/>
      <c r="R10" s="18"/>
      <c r="U10" s="18"/>
      <c r="V10" s="18"/>
      <c r="W10" s="18"/>
      <c r="X10" s="18"/>
      <c r="Y10" s="18"/>
    </row>
    <row r="11" spans="1:64" ht="25.4" customHeight="1">
      <c r="B11" s="233" t="s">
        <v>85</v>
      </c>
      <c r="C11" s="234"/>
      <c r="D11" s="26"/>
      <c r="E11" s="14"/>
      <c r="F11" s="195" t="s">
        <v>86</v>
      </c>
      <c r="G11" s="104" t="s">
        <v>87</v>
      </c>
      <c r="H11" s="196" t="s">
        <v>88</v>
      </c>
      <c r="I11" s="22"/>
      <c r="J11" s="195" t="s">
        <v>89</v>
      </c>
      <c r="K11" s="104" t="s">
        <v>87</v>
      </c>
      <c r="L11" s="196" t="s">
        <v>88</v>
      </c>
      <c r="M11" s="18"/>
      <c r="N11" s="18"/>
      <c r="O11" s="18"/>
      <c r="P11" s="18"/>
      <c r="Q11" s="18"/>
      <c r="R11" s="18"/>
      <c r="U11" s="18"/>
      <c r="V11" s="18"/>
      <c r="W11" s="18"/>
      <c r="X11" s="18"/>
      <c r="Y11" s="18"/>
    </row>
    <row r="12" spans="1:64" ht="12" customHeight="1">
      <c r="B12" s="107" t="s">
        <v>90</v>
      </c>
      <c r="C12" s="197">
        <f>COUNTIF($B$18:$B$243,B12)</f>
        <v>6</v>
      </c>
      <c r="D12" s="26"/>
      <c r="E12" s="14"/>
      <c r="F12" s="198" t="s">
        <v>91</v>
      </c>
      <c r="G12" s="72">
        <f ca="1">J20+J58+J96+J134+J172+J210</f>
        <v>0</v>
      </c>
      <c r="H12" s="42">
        <f ca="1">IF(($G$15+$K$15)=0,0,G12/($G$15+$K$15))</f>
        <v>0</v>
      </c>
      <c r="I12" s="26"/>
      <c r="J12" s="182" t="s">
        <v>92</v>
      </c>
      <c r="K12" s="72">
        <f ca="1">G20+G58+G96+G134+G172+G210</f>
        <v>0</v>
      </c>
      <c r="L12" s="42">
        <f ca="1">IF(($G$15+$K$15)=0,0,K12/($G$15+$K$15))</f>
        <v>0</v>
      </c>
      <c r="M12" s="18"/>
      <c r="N12" s="18"/>
      <c r="O12" s="18"/>
      <c r="P12" s="18"/>
      <c r="Q12" s="18"/>
      <c r="R12" s="18"/>
      <c r="U12" s="18"/>
      <c r="V12" s="18"/>
      <c r="W12" s="18"/>
      <c r="X12" s="18"/>
      <c r="Y12" s="18"/>
    </row>
    <row r="13" spans="1:64" ht="12" customHeight="1">
      <c r="B13" s="107"/>
      <c r="C13" s="197"/>
      <c r="D13" s="26"/>
      <c r="E13" s="14"/>
      <c r="F13" s="198" t="s">
        <v>93</v>
      </c>
      <c r="G13" s="72">
        <f ca="1">I20+I58+I96+I134+I172+I210</f>
        <v>0</v>
      </c>
      <c r="H13" s="42">
        <f ca="1">IF(($G$15+$K$15)=0,0,G13/($G$15+$K$15))</f>
        <v>0</v>
      </c>
      <c r="I13" s="26"/>
      <c r="J13" s="182" t="s">
        <v>94</v>
      </c>
      <c r="K13" s="72">
        <f ca="1">F20+F58+F96+F134+F172+F210</f>
        <v>0</v>
      </c>
      <c r="L13" s="42">
        <f ca="1">IF(($G$15+$K$15)=0,0,K13/($G$15+$K$15))</f>
        <v>0</v>
      </c>
      <c r="M13" s="18"/>
      <c r="N13" s="18"/>
      <c r="O13" s="18"/>
      <c r="P13" s="18"/>
      <c r="Q13" s="18"/>
      <c r="R13" s="18"/>
      <c r="U13" s="18"/>
      <c r="V13" s="18"/>
      <c r="W13" s="18"/>
      <c r="X13" s="18"/>
      <c r="Y13" s="18"/>
    </row>
    <row r="14" spans="1:64" ht="12" customHeight="1" thickBot="1">
      <c r="B14" s="199" t="s">
        <v>95</v>
      </c>
      <c r="C14" s="200">
        <f>C12+C13</f>
        <v>6</v>
      </c>
      <c r="D14" s="26"/>
      <c r="E14" s="14"/>
      <c r="F14" s="198" t="s">
        <v>96</v>
      </c>
      <c r="G14" s="72">
        <f ca="1">H20+H58+H96+H134+H172+H210</f>
        <v>84</v>
      </c>
      <c r="H14" s="42">
        <f ca="1">IF(($G$15+$K$15)=0,0,G14/($G$15+$K$15))</f>
        <v>1</v>
      </c>
      <c r="I14" s="26"/>
      <c r="J14" s="182" t="s">
        <v>97</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199" t="s">
        <v>95</v>
      </c>
      <c r="G15" s="202">
        <f ca="1">SUM(G12:G14)</f>
        <v>84</v>
      </c>
      <c r="H15" s="203">
        <f ca="1">SUM(H12:H14)</f>
        <v>1</v>
      </c>
      <c r="I15" s="26"/>
      <c r="J15" s="199" t="s">
        <v>95</v>
      </c>
      <c r="K15" s="202">
        <f ca="1">SUM(K12:K13)</f>
        <v>0</v>
      </c>
      <c r="L15" s="203">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2" t="s">
        <v>98</v>
      </c>
      <c r="B18" s="23" t="s">
        <v>90</v>
      </c>
      <c r="C18" s="24" t="s">
        <v>239</v>
      </c>
      <c r="D18" s="25" t="s">
        <v>100</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103</v>
      </c>
      <c r="E19" s="79" t="str">
        <f t="shared" ref="E19:E53" si="0">IF(D19&lt;&gt;"",IF(AND(B19&lt;&gt;"",C19&lt;&gt;""),"","ERR"),"")</f>
        <v/>
      </c>
      <c r="F19" s="86" t="s">
        <v>101</v>
      </c>
      <c r="G19" s="87" t="s">
        <v>102</v>
      </c>
      <c r="H19" s="88" t="s">
        <v>103</v>
      </c>
      <c r="I19" s="89" t="s">
        <v>93</v>
      </c>
      <c r="J19" s="90" t="s">
        <v>91</v>
      </c>
      <c r="K19" s="178" t="s">
        <v>97</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Aviso legal</v>
      </c>
      <c r="C20" s="85" t="str" cm="1">
        <f t="array" ref="C20">IFERROR(INDEX('03.Muestra'!$F$8:$F$42,SMALL(IF("Página Web"='03.Muestra'!$D$8:$D$42,ROW('03.Muestra'!$F$8:$F$42)-MIN(ROW('03.Muestra'!$D$8:$D$42))+1,""),ROW()-18)),"")</f>
        <v>https://www.comunidad.madrid/transparencia/aviso-legal</v>
      </c>
      <c r="D20" s="99" t="s">
        <v>103</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79">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Accesibilidad</v>
      </c>
      <c r="C21" s="85" t="str" cm="1">
        <f t="array" ref="C21">IFERROR(INDEX('03.Muestra'!$F$8:$F$42,SMALL(IF("Página Web"='03.Muestra'!$D$8:$D$42,ROW('03.Muestra'!$F$8:$F$42)-MIN(ROW('03.Muestra'!$D$8:$D$42))+1,""),ROW()-18)),"")</f>
        <v>https://www.comunidad.madrid/transparencia/declaracion-accesibilidad</v>
      </c>
      <c r="D21" s="99" t="s">
        <v>103</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Tranparencia</v>
      </c>
      <c r="C22" s="85" t="str" cm="1">
        <f t="array" ref="C22">IFERROR(INDEX('03.Muestra'!$F$8:$F$42,SMALL(IF("Página Web"='03.Muestra'!$D$8:$D$42,ROW('03.Muestra'!$F$8:$F$42)-MIN(ROW('03.Muestra'!$D$8:$D$42))+1,""),ROW()-18)),"")</f>
        <v>https://www.comunidad.madrid/transparencia/que-es-transparencia</v>
      </c>
      <c r="D22" s="99" t="s">
        <v>103</v>
      </c>
      <c r="E22" s="79" t="str">
        <f t="shared" si="0"/>
        <v/>
      </c>
      <c r="G22" s="18"/>
      <c r="H22" s="18"/>
      <c r="I22" s="18"/>
      <c r="J22" s="18"/>
      <c r="K22" s="169" t="s">
        <v>101</v>
      </c>
      <c r="L22" s="92" t="s">
        <v>104</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Organización</v>
      </c>
      <c r="C23" s="85" t="str" cm="1">
        <f t="array" ref="C23">IFERROR(INDEX('03.Muestra'!$F$8:$F$42,SMALL(IF("Página Web"='03.Muestra'!$D$8:$D$42,ROW('03.Muestra'!$F$8:$F$42)-MIN(ROW('03.Muestra'!$D$8:$D$42))+1,""),ROW()-18)),"")</f>
        <v>https://www.comunidad.madrid/transparencia/organizacion-recursos/organizacion</v>
      </c>
      <c r="D23" s="99" t="s">
        <v>103</v>
      </c>
      <c r="E23" s="79" t="str">
        <f t="shared" si="0"/>
        <v/>
      </c>
      <c r="G23" s="18"/>
      <c r="H23" s="18"/>
      <c r="I23" s="18"/>
      <c r="J23" s="18"/>
      <c r="K23" s="88" t="s">
        <v>103</v>
      </c>
      <c r="L23" s="92" t="s">
        <v>105</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Quejas</v>
      </c>
      <c r="C24" s="85" t="str" cm="1">
        <f t="array" ref="C24">IFERROR(INDEX('03.Muestra'!$F$8:$F$42,SMALL(IF("Página Web"='03.Muestra'!$D$8:$D$42,ROW('03.Muestra'!$F$8:$F$42)-MIN(ROW('03.Muestra'!$D$8:$D$42))+1,""),ROW()-18)),"")</f>
        <v>https://www.comunidad.madrid/transparencia/quejas-y-reclamaciones</v>
      </c>
      <c r="D24" s="99" t="s">
        <v>103</v>
      </c>
      <c r="E24" s="79" t="str">
        <f t="shared" si="0"/>
        <v/>
      </c>
      <c r="G24" s="18"/>
      <c r="H24" s="18"/>
      <c r="I24" s="18"/>
      <c r="J24" s="18"/>
      <c r="K24" s="87" t="s">
        <v>102</v>
      </c>
      <c r="L24" s="92" t="s">
        <v>106</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Contratos</v>
      </c>
      <c r="C25" s="85" t="str" cm="1">
        <f t="array" ref="C25">IFERROR(INDEX('03.Muestra'!$F$8:$F$42,SMALL(IF("Página Web"='03.Muestra'!$D$8:$D$42,ROW('03.Muestra'!$F$8:$F$42)-MIN(ROW('03.Muestra'!$D$8:$D$42))+1,""),ROW()-18)),"")</f>
        <v>https://www.comunidad.madrid/transparencia/contratos</v>
      </c>
      <c r="D25" s="99" t="s">
        <v>103</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v>
      </c>
      <c r="C26" s="85" t="str" cm="1">
        <f t="array" ref="C26">IFERROR(INDEX('03.Muestra'!$F$8:$F$42,SMALL(IF("Página Web"='03.Muestra'!$D$8:$D$42,ROW('03.Muestra'!$F$8:$F$42)-MIN(ROW('03.Muestra'!$D$8:$D$42))+1,""),ROW()-18)),"")</f>
        <v>https://www.comunidad.madrid/transparencia/normativa-planificacion/consulta-publica</v>
      </c>
      <c r="D26" s="99" t="s">
        <v>103</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Proyecto</v>
      </c>
      <c r="C27" s="85" t="str" cm="1">
        <f t="array" ref="C27">IFERROR(INDEX('03.Muestra'!$F$8:$F$42,SMALL(IF("Página Web"='03.Muestra'!$D$8:$D$42,ROW('03.Muestra'!$F$8:$F$42)-MIN(ROW('03.Muestra'!$D$8:$D$42))+1,""),ROW()-18)),"")</f>
        <v>https://www.comunidad.madrid/transparencia/proyecto-orden-que-se-crea-comision-farmacia-y-productos-sanitarios-cm-y-se-establece-su-composicion</v>
      </c>
      <c r="D27" s="99" t="s">
        <v>103</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Planes y Programas</v>
      </c>
      <c r="C28" s="85" t="str" cm="1">
        <f t="array" ref="C28">IFERROR(INDEX('03.Muestra'!$F$8:$F$42,SMALL(IF("Página Web"='03.Muestra'!$D$8:$D$42,ROW('03.Muestra'!$F$8:$F$42)-MIN(ROW('03.Muestra'!$D$8:$D$42))+1,""),ROW()-18)),"")</f>
        <v>https://www.comunidad.madrid/transparencia/normativa-planificacion/planes-programas</v>
      </c>
      <c r="D28" s="99" t="s">
        <v>103</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Estrategia</v>
      </c>
      <c r="C29" s="85" t="str" cm="1">
        <f t="array" ref="C29">IFERROR(INDEX('03.Muestra'!$F$8:$F$42,SMALL(IF("Página Web"='03.Muestra'!$D$8:$D$42,ROW('03.Muestra'!$F$8:$F$42)-MIN(ROW('03.Muestra'!$D$8:$D$42))+1,""),ROW()-18)),"")</f>
        <v>https://www.comunidad.madrid/transparencia/informacion-institucional/planes-programas/estrategia-seguridad-del-paciente-del-servicio-madrileno</v>
      </c>
      <c r="D29" s="99" t="s">
        <v>103</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Huella</v>
      </c>
      <c r="C30" s="85" t="str" cm="1">
        <f t="array" ref="C30">IFERROR(INDEX('03.Muestra'!$F$8:$F$42,SMALL(IF("Página Web"='03.Muestra'!$D$8:$D$42,ROW('03.Muestra'!$F$8:$F$42)-MIN(ROW('03.Muestra'!$D$8:$D$42))+1,""),ROW()-18)),"")</f>
        <v>https://www.comunidad.madrid/transparencia/normativa-planificacion/huella-normativa</v>
      </c>
      <c r="D30" s="99" t="s">
        <v>103</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Decreto</v>
      </c>
      <c r="C31" s="85" t="str" cm="1">
        <f t="array" ref="C31">IFERROR(INDEX('03.Muestra'!$F$8:$F$42,SMALL(IF("Página Web"='03.Muestra'!$D$8:$D$42,ROW('03.Muestra'!$F$8:$F$42)-MIN(ROW('03.Muestra'!$D$8:$D$42))+1,""),ROW()-18)),"")</f>
        <v>https://www.comunidad.madrid/transparencia/decreto-del-consejo-gobierno-que-se-establece-estructura-organica-consejeria-familia-juventud-y</v>
      </c>
      <c r="D31" s="99" t="s">
        <v>103</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Entidades Locales</v>
      </c>
      <c r="C32" s="85" t="str" cm="1">
        <f t="array" ref="C32">IFERROR(INDEX('03.Muestra'!$F$8:$F$42,SMALL(IF("Página Web"='03.Muestra'!$D$8:$D$42,ROW('03.Muestra'!$F$8:$F$42)-MIN(ROW('03.Muestra'!$D$8:$D$42))+1,""),ROW()-18)),"")</f>
        <v>https://www.comunidad.madrid/transparencia/entidades-locales</v>
      </c>
      <c r="D32" s="99" t="s">
        <v>103</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2" t="s">
        <v>98</v>
      </c>
      <c r="B56" s="23" t="s">
        <v>90</v>
      </c>
      <c r="C56" s="24" t="s">
        <v>240</v>
      </c>
      <c r="D56" s="25" t="s">
        <v>100</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103</v>
      </c>
      <c r="E57" s="79" t="str">
        <f t="shared" ref="E57:E91" si="2">IF(D57&lt;&gt;"",IF(AND(B57&lt;&gt;"",C57&lt;&gt;""),"","ERR"),"")</f>
        <v/>
      </c>
      <c r="F57" s="86" t="s">
        <v>101</v>
      </c>
      <c r="G57" s="87" t="s">
        <v>102</v>
      </c>
      <c r="H57" s="88" t="s">
        <v>103</v>
      </c>
      <c r="I57" s="89" t="s">
        <v>93</v>
      </c>
      <c r="J57" s="90" t="s">
        <v>91</v>
      </c>
      <c r="K57" s="178" t="s">
        <v>97</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Aviso legal</v>
      </c>
      <c r="C58" s="85" t="str" cm="1">
        <f t="array" ref="C58">IFERROR(INDEX('03.Muestra'!$F$8:$F$42,SMALL(IF("Página Web"='03.Muestra'!$D$8:$D$42,ROW('03.Muestra'!$F$8:$F$42)-MIN(ROW('03.Muestra'!$D$8:$D$42))+1,""),ROW()-56)),"")</f>
        <v>https://www.comunidad.madrid/transparencia/aviso-legal</v>
      </c>
      <c r="D58" s="99" t="s">
        <v>103</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79">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Accesibilidad</v>
      </c>
      <c r="C59" s="85" t="str" cm="1">
        <f t="array" ref="C59">IFERROR(INDEX('03.Muestra'!$F$8:$F$42,SMALL(IF("Página Web"='03.Muestra'!$D$8:$D$42,ROW('03.Muestra'!$F$8:$F$42)-MIN(ROW('03.Muestra'!$D$8:$D$42))+1,""),ROW()-56)),"")</f>
        <v>https://www.comunidad.madrid/transparencia/declaracion-accesibilidad</v>
      </c>
      <c r="D59" s="99" t="s">
        <v>103</v>
      </c>
      <c r="E59" s="79" t="str">
        <f t="shared" si="2"/>
        <v/>
      </c>
      <c r="G59" s="18"/>
      <c r="H59" s="18"/>
      <c r="I59" s="18"/>
      <c r="J59" s="18"/>
      <c r="K59" s="183"/>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Tranparencia</v>
      </c>
      <c r="C60" s="85" t="str" cm="1">
        <f t="array" ref="C60">IFERROR(INDEX('03.Muestra'!$F$8:$F$42,SMALL(IF("Página Web"='03.Muestra'!$D$8:$D$42,ROW('03.Muestra'!$F$8:$F$42)-MIN(ROW('03.Muestra'!$D$8:$D$42))+1,""),ROW()-56)),"")</f>
        <v>https://www.comunidad.madrid/transparencia/que-es-transparencia</v>
      </c>
      <c r="D60" s="99" t="s">
        <v>103</v>
      </c>
      <c r="E60" s="79" t="str">
        <f t="shared" si="2"/>
        <v/>
      </c>
      <c r="G60" s="18"/>
      <c r="H60" s="18"/>
      <c r="I60" s="18"/>
      <c r="J60" s="18"/>
      <c r="K60" s="183"/>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Organización</v>
      </c>
      <c r="C61" s="85" t="str" cm="1">
        <f t="array" ref="C61">IFERROR(INDEX('03.Muestra'!$F$8:$F$42,SMALL(IF("Página Web"='03.Muestra'!$D$8:$D$42,ROW('03.Muestra'!$F$8:$F$42)-MIN(ROW('03.Muestra'!$D$8:$D$42))+1,""),ROW()-56)),"")</f>
        <v>https://www.comunidad.madrid/transparencia/organizacion-recursos/organizacion</v>
      </c>
      <c r="D61" s="99" t="s">
        <v>103</v>
      </c>
      <c r="E61" s="79" t="str">
        <f t="shared" si="2"/>
        <v/>
      </c>
      <c r="G61" s="18"/>
      <c r="H61" s="18"/>
      <c r="I61" s="18"/>
      <c r="J61" s="18"/>
      <c r="K61" s="183"/>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Quejas</v>
      </c>
      <c r="C62" s="85" t="str" cm="1">
        <f t="array" ref="C62">IFERROR(INDEX('03.Muestra'!$F$8:$F$42,SMALL(IF("Página Web"='03.Muestra'!$D$8:$D$42,ROW('03.Muestra'!$F$8:$F$42)-MIN(ROW('03.Muestra'!$D$8:$D$42))+1,""),ROW()-56)),"")</f>
        <v>https://www.comunidad.madrid/transparencia/quejas-y-reclamaciones</v>
      </c>
      <c r="D62" s="99" t="s">
        <v>103</v>
      </c>
      <c r="E62" s="79" t="str">
        <f t="shared" si="2"/>
        <v/>
      </c>
      <c r="G62" s="18"/>
      <c r="H62" s="18"/>
      <c r="I62" s="18"/>
      <c r="J62" s="18"/>
      <c r="K62" s="183"/>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Contratos</v>
      </c>
      <c r="C63" s="85" t="str" cm="1">
        <f t="array" ref="C63">IFERROR(INDEX('03.Muestra'!$F$8:$F$42,SMALL(IF("Página Web"='03.Muestra'!$D$8:$D$42,ROW('03.Muestra'!$F$8:$F$42)-MIN(ROW('03.Muestra'!$D$8:$D$42))+1,""),ROW()-56)),"")</f>
        <v>https://www.comunidad.madrid/transparencia/contratos</v>
      </c>
      <c r="D63" s="99" t="s">
        <v>103</v>
      </c>
      <c r="E63" s="79" t="str">
        <f t="shared" si="2"/>
        <v/>
      </c>
      <c r="F63" s="18"/>
      <c r="G63" s="18"/>
      <c r="H63" s="18"/>
      <c r="I63" s="18"/>
      <c r="J63" s="18"/>
      <c r="K63" s="183"/>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v>
      </c>
      <c r="C64" s="85" t="str" cm="1">
        <f t="array" ref="C64">IFERROR(INDEX('03.Muestra'!$F$8:$F$42,SMALL(IF("Página Web"='03.Muestra'!$D$8:$D$42,ROW('03.Muestra'!$F$8:$F$42)-MIN(ROW('03.Muestra'!$D$8:$D$42))+1,""),ROW()-56)),"")</f>
        <v>https://www.comunidad.madrid/transparencia/normativa-planificacion/consulta-publica</v>
      </c>
      <c r="D64" s="99" t="s">
        <v>103</v>
      </c>
      <c r="E64" s="79" t="str">
        <f t="shared" si="2"/>
        <v/>
      </c>
      <c r="F64" s="18"/>
      <c r="G64" s="18"/>
      <c r="H64" s="18"/>
      <c r="I64" s="18"/>
      <c r="J64" s="18"/>
      <c r="K64" s="183"/>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Proyecto</v>
      </c>
      <c r="C65" s="85" t="str" cm="1">
        <f t="array" ref="C65">IFERROR(INDEX('03.Muestra'!$F$8:$F$42,SMALL(IF("Página Web"='03.Muestra'!$D$8:$D$42,ROW('03.Muestra'!$F$8:$F$42)-MIN(ROW('03.Muestra'!$D$8:$D$42))+1,""),ROW()-56)),"")</f>
        <v>https://www.comunidad.madrid/transparencia/proyecto-orden-que-se-crea-comision-farmacia-y-productos-sanitarios-cm-y-se-establece-su-composicion</v>
      </c>
      <c r="D65" s="99" t="s">
        <v>103</v>
      </c>
      <c r="E65" s="79" t="str">
        <f t="shared" si="2"/>
        <v/>
      </c>
      <c r="F65" s="18"/>
      <c r="G65" s="18"/>
      <c r="H65" s="18"/>
      <c r="I65" s="18"/>
      <c r="J65" s="18"/>
      <c r="K65" s="183"/>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Planes y Programas</v>
      </c>
      <c r="C66" s="85" t="str" cm="1">
        <f t="array" ref="C66">IFERROR(INDEX('03.Muestra'!$F$8:$F$42,SMALL(IF("Página Web"='03.Muestra'!$D$8:$D$42,ROW('03.Muestra'!$F$8:$F$42)-MIN(ROW('03.Muestra'!$D$8:$D$42))+1,""),ROW()-56)),"")</f>
        <v>https://www.comunidad.madrid/transparencia/normativa-planificacion/planes-programas</v>
      </c>
      <c r="D66" s="99" t="s">
        <v>103</v>
      </c>
      <c r="E66" s="79" t="str">
        <f t="shared" si="2"/>
        <v/>
      </c>
      <c r="F66" s="18"/>
      <c r="G66" s="18"/>
      <c r="H66" s="18"/>
      <c r="I66" s="18"/>
      <c r="J66" s="18"/>
      <c r="K66" s="183"/>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Estrategia</v>
      </c>
      <c r="C67" s="85" t="str" cm="1">
        <f t="array" ref="C67">IFERROR(INDEX('03.Muestra'!$F$8:$F$42,SMALL(IF("Página Web"='03.Muestra'!$D$8:$D$42,ROW('03.Muestra'!$F$8:$F$42)-MIN(ROW('03.Muestra'!$D$8:$D$42))+1,""),ROW()-56)),"")</f>
        <v>https://www.comunidad.madrid/transparencia/informacion-institucional/planes-programas/estrategia-seguridad-del-paciente-del-servicio-madrileno</v>
      </c>
      <c r="D67" s="99" t="s">
        <v>103</v>
      </c>
      <c r="E67" s="79" t="str">
        <f t="shared" si="2"/>
        <v/>
      </c>
      <c r="F67" s="18"/>
      <c r="G67" s="18"/>
      <c r="H67" s="18"/>
      <c r="I67" s="18"/>
      <c r="J67" s="18"/>
      <c r="K67" s="183"/>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Huella</v>
      </c>
      <c r="C68" s="85" t="str" cm="1">
        <f t="array" ref="C68">IFERROR(INDEX('03.Muestra'!$F$8:$F$42,SMALL(IF("Página Web"='03.Muestra'!$D$8:$D$42,ROW('03.Muestra'!$F$8:$F$42)-MIN(ROW('03.Muestra'!$D$8:$D$42))+1,""),ROW()-56)),"")</f>
        <v>https://www.comunidad.madrid/transparencia/normativa-planificacion/huella-normativa</v>
      </c>
      <c r="D68" s="99" t="s">
        <v>103</v>
      </c>
      <c r="E68" s="79" t="str">
        <f t="shared" si="2"/>
        <v/>
      </c>
      <c r="F68" s="18"/>
      <c r="G68" s="18"/>
      <c r="H68" s="18"/>
      <c r="I68" s="18"/>
      <c r="J68" s="18"/>
      <c r="K68" s="183"/>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Decreto</v>
      </c>
      <c r="C69" s="85" t="str" cm="1">
        <f t="array" ref="C69">IFERROR(INDEX('03.Muestra'!$F$8:$F$42,SMALL(IF("Página Web"='03.Muestra'!$D$8:$D$42,ROW('03.Muestra'!$F$8:$F$42)-MIN(ROW('03.Muestra'!$D$8:$D$42))+1,""),ROW()-56)),"")</f>
        <v>https://www.comunidad.madrid/transparencia/decreto-del-consejo-gobierno-que-se-establece-estructura-organica-consejeria-familia-juventud-y</v>
      </c>
      <c r="D69" s="99" t="s">
        <v>103</v>
      </c>
      <c r="E69" s="79" t="str">
        <f t="shared" si="2"/>
        <v/>
      </c>
      <c r="F69" s="18"/>
      <c r="G69" s="18"/>
      <c r="H69" s="18"/>
      <c r="I69" s="18"/>
      <c r="J69" s="18"/>
      <c r="K69" s="183"/>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Entidades Locales</v>
      </c>
      <c r="C70" s="85" t="str" cm="1">
        <f t="array" ref="C70">IFERROR(INDEX('03.Muestra'!$F$8:$F$42,SMALL(IF("Página Web"='03.Muestra'!$D$8:$D$42,ROW('03.Muestra'!$F$8:$F$42)-MIN(ROW('03.Muestra'!$D$8:$D$42))+1,""),ROW()-56)),"")</f>
        <v>https://www.comunidad.madrid/transparencia/entidades-locales</v>
      </c>
      <c r="D70" s="99" t="s">
        <v>103</v>
      </c>
      <c r="E70" s="79" t="str">
        <f t="shared" si="2"/>
        <v/>
      </c>
      <c r="F70" s="18"/>
      <c r="G70" s="18"/>
      <c r="H70" s="18"/>
      <c r="I70" s="18"/>
      <c r="J70" s="18"/>
      <c r="K70" s="183"/>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3"/>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3"/>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3"/>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3"/>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3"/>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3"/>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3"/>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3"/>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3"/>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3"/>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3"/>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3"/>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3"/>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3"/>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3"/>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3"/>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3"/>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3"/>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3"/>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3"/>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3"/>
    </row>
    <row r="92" spans="1:11" ht="12" customHeight="1">
      <c r="B92" s="18"/>
      <c r="C92" s="18"/>
      <c r="D92" s="79"/>
      <c r="E92" s="79"/>
      <c r="F92" s="18"/>
      <c r="G92" s="18"/>
      <c r="H92" s="18"/>
      <c r="I92" s="18"/>
      <c r="J92" s="18"/>
      <c r="K92" s="183"/>
    </row>
    <row r="93" spans="1:11" ht="12" customHeight="1">
      <c r="B93" s="18"/>
      <c r="C93" s="18"/>
      <c r="D93" s="79"/>
      <c r="E93" s="83"/>
      <c r="F93" s="18"/>
      <c r="G93" s="18"/>
      <c r="H93" s="18"/>
      <c r="I93" s="18"/>
      <c r="J93" s="18"/>
      <c r="K93" s="183"/>
    </row>
    <row r="94" spans="1:11" ht="29.25" customHeight="1">
      <c r="A94" s="172" t="s">
        <v>98</v>
      </c>
      <c r="B94" s="23" t="s">
        <v>90</v>
      </c>
      <c r="C94" s="24" t="s">
        <v>241</v>
      </c>
      <c r="D94" s="25" t="s">
        <v>100</v>
      </c>
      <c r="E94" s="93"/>
      <c r="K94" s="183"/>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103</v>
      </c>
      <c r="E95" s="79" t="str">
        <f t="shared" ref="E95:E129" si="4">IF(D95&lt;&gt;"",IF(AND(B95&lt;&gt;"",C95&lt;&gt;""),"","ERR"),"")</f>
        <v/>
      </c>
      <c r="F95" s="86" t="s">
        <v>101</v>
      </c>
      <c r="G95" s="87" t="s">
        <v>102</v>
      </c>
      <c r="H95" s="88" t="s">
        <v>103</v>
      </c>
      <c r="I95" s="89" t="s">
        <v>93</v>
      </c>
      <c r="J95" s="90" t="s">
        <v>91</v>
      </c>
      <c r="K95" s="178" t="s">
        <v>97</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Aviso legal</v>
      </c>
      <c r="C96" s="85" t="str" cm="1">
        <f t="array" ref="C96">IFERROR(INDEX('03.Muestra'!$F$8:$F$42,SMALL(IF("Página Web"='03.Muestra'!$D$8:$D$42,ROW('03.Muestra'!$F$8:$F$42)-MIN(ROW('03.Muestra'!$D$8:$D$42))+1,""),ROW()-94)),"")</f>
        <v>https://www.comunidad.madrid/transparencia/aviso-legal</v>
      </c>
      <c r="D96" s="99" t="s">
        <v>103</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79">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Accesibilidad</v>
      </c>
      <c r="C97" s="85" t="str" cm="1">
        <f t="array" ref="C97">IFERROR(INDEX('03.Muestra'!$F$8:$F$42,SMALL(IF("Página Web"='03.Muestra'!$D$8:$D$42,ROW('03.Muestra'!$F$8:$F$42)-MIN(ROW('03.Muestra'!$D$8:$D$42))+1,""),ROW()-94)),"")</f>
        <v>https://www.comunidad.madrid/transparencia/declaracion-accesibilidad</v>
      </c>
      <c r="D97" s="99" t="s">
        <v>103</v>
      </c>
      <c r="E97" s="79" t="str">
        <f t="shared" si="4"/>
        <v/>
      </c>
      <c r="G97" s="18"/>
      <c r="H97" s="18"/>
      <c r="I97" s="18"/>
      <c r="J97" s="18"/>
      <c r="K97" s="183"/>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Tranparencia</v>
      </c>
      <c r="C98" s="85" t="str" cm="1">
        <f t="array" ref="C98">IFERROR(INDEX('03.Muestra'!$F$8:$F$42,SMALL(IF("Página Web"='03.Muestra'!$D$8:$D$42,ROW('03.Muestra'!$F$8:$F$42)-MIN(ROW('03.Muestra'!$D$8:$D$42))+1,""),ROW()-94)),"")</f>
        <v>https://www.comunidad.madrid/transparencia/que-es-transparencia</v>
      </c>
      <c r="D98" s="99" t="s">
        <v>103</v>
      </c>
      <c r="E98" s="79" t="str">
        <f t="shared" si="4"/>
        <v/>
      </c>
      <c r="G98" s="18"/>
      <c r="H98" s="18"/>
      <c r="I98" s="18"/>
      <c r="J98" s="18"/>
      <c r="K98" s="183"/>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Organización</v>
      </c>
      <c r="C99" s="85" t="str" cm="1">
        <f t="array" ref="C99">IFERROR(INDEX('03.Muestra'!$F$8:$F$42,SMALL(IF("Página Web"='03.Muestra'!$D$8:$D$42,ROW('03.Muestra'!$F$8:$F$42)-MIN(ROW('03.Muestra'!$D$8:$D$42))+1,""),ROW()-94)),"")</f>
        <v>https://www.comunidad.madrid/transparencia/organizacion-recursos/organizacion</v>
      </c>
      <c r="D99" s="99" t="s">
        <v>103</v>
      </c>
      <c r="E99" s="79" t="str">
        <f t="shared" si="4"/>
        <v/>
      </c>
      <c r="G99" s="18"/>
      <c r="H99" s="18"/>
      <c r="I99" s="18"/>
      <c r="J99" s="18"/>
      <c r="K99" s="183"/>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Quejas</v>
      </c>
      <c r="C100" s="85" t="str" cm="1">
        <f t="array" ref="C100">IFERROR(INDEX('03.Muestra'!$F$8:$F$42,SMALL(IF("Página Web"='03.Muestra'!$D$8:$D$42,ROW('03.Muestra'!$F$8:$F$42)-MIN(ROW('03.Muestra'!$D$8:$D$42))+1,""),ROW()-94)),"")</f>
        <v>https://www.comunidad.madrid/transparencia/quejas-y-reclamaciones</v>
      </c>
      <c r="D100" s="99" t="s">
        <v>103</v>
      </c>
      <c r="E100" s="79" t="str">
        <f t="shared" si="4"/>
        <v/>
      </c>
      <c r="G100" s="18"/>
      <c r="H100" s="18"/>
      <c r="I100" s="18"/>
      <c r="J100" s="18"/>
      <c r="K100" s="183"/>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Contratos</v>
      </c>
      <c r="C101" s="85" t="str" cm="1">
        <f t="array" ref="C101">IFERROR(INDEX('03.Muestra'!$F$8:$F$42,SMALL(IF("Página Web"='03.Muestra'!$D$8:$D$42,ROW('03.Muestra'!$F$8:$F$42)-MIN(ROW('03.Muestra'!$D$8:$D$42))+1,""),ROW()-94)),"")</f>
        <v>https://www.comunidad.madrid/transparencia/contratos</v>
      </c>
      <c r="D101" s="99" t="s">
        <v>103</v>
      </c>
      <c r="E101" s="79" t="str">
        <f t="shared" si="4"/>
        <v/>
      </c>
      <c r="F101" s="18"/>
      <c r="G101" s="18"/>
      <c r="H101" s="18"/>
      <c r="I101" s="18"/>
      <c r="J101" s="18"/>
      <c r="K101" s="183"/>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v>
      </c>
      <c r="C102" s="85" t="str" cm="1">
        <f t="array" ref="C102">IFERROR(INDEX('03.Muestra'!$F$8:$F$42,SMALL(IF("Página Web"='03.Muestra'!$D$8:$D$42,ROW('03.Muestra'!$F$8:$F$42)-MIN(ROW('03.Muestra'!$D$8:$D$42))+1,""),ROW()-94)),"")</f>
        <v>https://www.comunidad.madrid/transparencia/normativa-planificacion/consulta-publica</v>
      </c>
      <c r="D102" s="99" t="s">
        <v>103</v>
      </c>
      <c r="E102" s="79" t="str">
        <f t="shared" si="4"/>
        <v/>
      </c>
      <c r="F102" s="18"/>
      <c r="G102" s="18"/>
      <c r="H102" s="18"/>
      <c r="I102" s="18"/>
      <c r="J102" s="18"/>
      <c r="K102" s="183"/>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Proyecto</v>
      </c>
      <c r="C103" s="85" t="str" cm="1">
        <f t="array" ref="C103">IFERROR(INDEX('03.Muestra'!$F$8:$F$42,SMALL(IF("Página Web"='03.Muestra'!$D$8:$D$42,ROW('03.Muestra'!$F$8:$F$42)-MIN(ROW('03.Muestra'!$D$8:$D$42))+1,""),ROW()-94)),"")</f>
        <v>https://www.comunidad.madrid/transparencia/proyecto-orden-que-se-crea-comision-farmacia-y-productos-sanitarios-cm-y-se-establece-su-composicion</v>
      </c>
      <c r="D103" s="99" t="s">
        <v>103</v>
      </c>
      <c r="E103" s="79" t="str">
        <f t="shared" si="4"/>
        <v/>
      </c>
      <c r="F103" s="18"/>
      <c r="G103" s="18"/>
      <c r="H103" s="18"/>
      <c r="I103" s="18"/>
      <c r="J103" s="18"/>
      <c r="K103" s="183"/>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Planes y Programas</v>
      </c>
      <c r="C104" s="85" t="str" cm="1">
        <f t="array" ref="C104">IFERROR(INDEX('03.Muestra'!$F$8:$F$42,SMALL(IF("Página Web"='03.Muestra'!$D$8:$D$42,ROW('03.Muestra'!$F$8:$F$42)-MIN(ROW('03.Muestra'!$D$8:$D$42))+1,""),ROW()-94)),"")</f>
        <v>https://www.comunidad.madrid/transparencia/normativa-planificacion/planes-programas</v>
      </c>
      <c r="D104" s="99" t="s">
        <v>103</v>
      </c>
      <c r="E104" s="79" t="str">
        <f t="shared" si="4"/>
        <v/>
      </c>
      <c r="F104" s="18"/>
      <c r="G104" s="18"/>
      <c r="H104" s="18"/>
      <c r="I104" s="18"/>
      <c r="J104" s="18"/>
      <c r="K104" s="183"/>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Estrategia</v>
      </c>
      <c r="C105" s="85" t="str" cm="1">
        <f t="array" ref="C105">IFERROR(INDEX('03.Muestra'!$F$8:$F$42,SMALL(IF("Página Web"='03.Muestra'!$D$8:$D$42,ROW('03.Muestra'!$F$8:$F$42)-MIN(ROW('03.Muestra'!$D$8:$D$42))+1,""),ROW()-94)),"")</f>
        <v>https://www.comunidad.madrid/transparencia/informacion-institucional/planes-programas/estrategia-seguridad-del-paciente-del-servicio-madrileno</v>
      </c>
      <c r="D105" s="99" t="s">
        <v>103</v>
      </c>
      <c r="E105" s="79" t="str">
        <f t="shared" si="4"/>
        <v/>
      </c>
      <c r="F105" s="18"/>
      <c r="G105" s="18"/>
      <c r="H105" s="18"/>
      <c r="I105" s="18"/>
      <c r="J105" s="18"/>
      <c r="K105" s="183"/>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Huella</v>
      </c>
      <c r="C106" s="85" t="str" cm="1">
        <f t="array" ref="C106">IFERROR(INDEX('03.Muestra'!$F$8:$F$42,SMALL(IF("Página Web"='03.Muestra'!$D$8:$D$42,ROW('03.Muestra'!$F$8:$F$42)-MIN(ROW('03.Muestra'!$D$8:$D$42))+1,""),ROW()-94)),"")</f>
        <v>https://www.comunidad.madrid/transparencia/normativa-planificacion/huella-normativa</v>
      </c>
      <c r="D106" s="99" t="s">
        <v>103</v>
      </c>
      <c r="E106" s="79" t="str">
        <f t="shared" si="4"/>
        <v/>
      </c>
      <c r="F106" s="18"/>
      <c r="G106" s="18"/>
      <c r="H106" s="18"/>
      <c r="I106" s="18"/>
      <c r="J106" s="18"/>
      <c r="K106" s="183"/>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Decreto</v>
      </c>
      <c r="C107" s="85" t="str" cm="1">
        <f t="array" ref="C107">IFERROR(INDEX('03.Muestra'!$F$8:$F$42,SMALL(IF("Página Web"='03.Muestra'!$D$8:$D$42,ROW('03.Muestra'!$F$8:$F$42)-MIN(ROW('03.Muestra'!$D$8:$D$42))+1,""),ROW()-94)),"")</f>
        <v>https://www.comunidad.madrid/transparencia/decreto-del-consejo-gobierno-que-se-establece-estructura-organica-consejeria-familia-juventud-y</v>
      </c>
      <c r="D107" s="99" t="s">
        <v>103</v>
      </c>
      <c r="E107" s="79" t="str">
        <f t="shared" si="4"/>
        <v/>
      </c>
      <c r="F107" s="18"/>
      <c r="G107" s="18"/>
      <c r="H107" s="18"/>
      <c r="I107" s="18"/>
      <c r="J107" s="18"/>
      <c r="K107" s="183"/>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Entidades Locales</v>
      </c>
      <c r="C108" s="85" t="str" cm="1">
        <f t="array" ref="C108">IFERROR(INDEX('03.Muestra'!$F$8:$F$42,SMALL(IF("Página Web"='03.Muestra'!$D$8:$D$42,ROW('03.Muestra'!$F$8:$F$42)-MIN(ROW('03.Muestra'!$D$8:$D$42))+1,""),ROW()-94)),"")</f>
        <v>https://www.comunidad.madrid/transparencia/entidades-locales</v>
      </c>
      <c r="D108" s="99" t="s">
        <v>103</v>
      </c>
      <c r="E108" s="79" t="str">
        <f t="shared" si="4"/>
        <v/>
      </c>
      <c r="F108" s="18"/>
      <c r="G108" s="18"/>
      <c r="H108" s="18"/>
      <c r="I108" s="18"/>
      <c r="J108" s="18"/>
      <c r="K108" s="183"/>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3"/>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3"/>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3"/>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3"/>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3"/>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3"/>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3"/>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3"/>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3"/>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3"/>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3"/>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3"/>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3"/>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3"/>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3"/>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3"/>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3"/>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3"/>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3"/>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3"/>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3"/>
    </row>
    <row r="130" spans="1:11" ht="12" customHeight="1">
      <c r="B130" s="18"/>
      <c r="C130" s="18"/>
      <c r="D130" s="79"/>
      <c r="E130" s="79"/>
      <c r="F130" s="18"/>
      <c r="G130" s="18"/>
      <c r="H130" s="18"/>
      <c r="I130" s="18"/>
      <c r="J130" s="18"/>
      <c r="K130" s="183"/>
    </row>
    <row r="131" spans="1:11" ht="12" customHeight="1">
      <c r="B131" s="18"/>
      <c r="C131" s="18"/>
      <c r="D131" s="79"/>
      <c r="E131" s="83"/>
      <c r="F131" s="18"/>
      <c r="G131" s="18"/>
      <c r="H131" s="18"/>
      <c r="I131" s="18"/>
      <c r="J131" s="18"/>
      <c r="K131" s="183"/>
    </row>
    <row r="132" spans="1:11" ht="29.25" customHeight="1">
      <c r="A132" s="172" t="s">
        <v>98</v>
      </c>
      <c r="B132" s="23" t="s">
        <v>90</v>
      </c>
      <c r="C132" s="24" t="s">
        <v>242</v>
      </c>
      <c r="D132" s="25" t="s">
        <v>100</v>
      </c>
      <c r="E132" s="93"/>
      <c r="K132" s="183"/>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103</v>
      </c>
      <c r="E133" s="79" t="str">
        <f t="shared" ref="E133:E167" si="6">IF(D133&lt;&gt;"",IF(AND(B133&lt;&gt;"",C133&lt;&gt;""),"","ERR"),"")</f>
        <v/>
      </c>
      <c r="F133" s="86" t="s">
        <v>101</v>
      </c>
      <c r="G133" s="87" t="s">
        <v>102</v>
      </c>
      <c r="H133" s="88" t="s">
        <v>103</v>
      </c>
      <c r="I133" s="89" t="s">
        <v>93</v>
      </c>
      <c r="J133" s="90" t="s">
        <v>91</v>
      </c>
      <c r="K133" s="178" t="s">
        <v>97</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Aviso legal</v>
      </c>
      <c r="C134" s="85" t="str" cm="1">
        <f t="array" ref="C134">IFERROR(INDEX('03.Muestra'!$F$8:$F$42,SMALL(IF("Página Web"='03.Muestra'!$D$8:$D$42,ROW('03.Muestra'!$F$8:$F$42)-MIN(ROW('03.Muestra'!$D$8:$D$42))+1,""),ROW()-132)),"")</f>
        <v>https://www.comunidad.madrid/transparencia/aviso-legal</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79">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Accesibilidad</v>
      </c>
      <c r="C135" s="85" t="str" cm="1">
        <f t="array" ref="C135">IFERROR(INDEX('03.Muestra'!$F$8:$F$42,SMALL(IF("Página Web"='03.Muestra'!$D$8:$D$42,ROW('03.Muestra'!$F$8:$F$42)-MIN(ROW('03.Muestra'!$D$8:$D$42))+1,""),ROW()-132)),"")</f>
        <v>https://www.comunidad.madrid/transparencia/declaracion-accesibilidad</v>
      </c>
      <c r="D135" s="99" t="s">
        <v>103</v>
      </c>
      <c r="E135" s="79" t="str">
        <f t="shared" si="6"/>
        <v/>
      </c>
      <c r="G135" s="18"/>
      <c r="H135" s="18"/>
      <c r="I135" s="18"/>
      <c r="J135" s="18"/>
      <c r="K135" s="183"/>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Tranparencia</v>
      </c>
      <c r="C136" s="85" t="str" cm="1">
        <f t="array" ref="C136">IFERROR(INDEX('03.Muestra'!$F$8:$F$42,SMALL(IF("Página Web"='03.Muestra'!$D$8:$D$42,ROW('03.Muestra'!$F$8:$F$42)-MIN(ROW('03.Muestra'!$D$8:$D$42))+1,""),ROW()-132)),"")</f>
        <v>https://www.comunidad.madrid/transparencia/que-es-transparencia</v>
      </c>
      <c r="D136" s="99" t="s">
        <v>103</v>
      </c>
      <c r="E136" s="79" t="str">
        <f t="shared" si="6"/>
        <v/>
      </c>
      <c r="G136" s="18"/>
      <c r="H136" s="18"/>
      <c r="I136" s="18"/>
      <c r="J136" s="18"/>
      <c r="K136" s="183"/>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Organización</v>
      </c>
      <c r="C137" s="85" t="str" cm="1">
        <f t="array" ref="C137">IFERROR(INDEX('03.Muestra'!$F$8:$F$42,SMALL(IF("Página Web"='03.Muestra'!$D$8:$D$42,ROW('03.Muestra'!$F$8:$F$42)-MIN(ROW('03.Muestra'!$D$8:$D$42))+1,""),ROW()-132)),"")</f>
        <v>https://www.comunidad.madrid/transparencia/organizacion-recursos/organizacion</v>
      </c>
      <c r="D137" s="99" t="s">
        <v>103</v>
      </c>
      <c r="E137" s="79" t="str">
        <f t="shared" si="6"/>
        <v/>
      </c>
      <c r="G137" s="18"/>
      <c r="H137" s="18"/>
      <c r="I137" s="18"/>
      <c r="J137" s="18"/>
      <c r="K137" s="183"/>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Quejas</v>
      </c>
      <c r="C138" s="85" t="str" cm="1">
        <f t="array" ref="C138">IFERROR(INDEX('03.Muestra'!$F$8:$F$42,SMALL(IF("Página Web"='03.Muestra'!$D$8:$D$42,ROW('03.Muestra'!$F$8:$F$42)-MIN(ROW('03.Muestra'!$D$8:$D$42))+1,""),ROW()-132)),"")</f>
        <v>https://www.comunidad.madrid/transparencia/quejas-y-reclamaciones</v>
      </c>
      <c r="D138" s="99" t="s">
        <v>103</v>
      </c>
      <c r="E138" s="79" t="str">
        <f t="shared" si="6"/>
        <v/>
      </c>
      <c r="G138" s="18"/>
      <c r="H138" s="18"/>
      <c r="I138" s="18"/>
      <c r="J138" s="18"/>
      <c r="K138" s="183"/>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Contratos</v>
      </c>
      <c r="C139" s="85" t="str" cm="1">
        <f t="array" ref="C139">IFERROR(INDEX('03.Muestra'!$F$8:$F$42,SMALL(IF("Página Web"='03.Muestra'!$D$8:$D$42,ROW('03.Muestra'!$F$8:$F$42)-MIN(ROW('03.Muestra'!$D$8:$D$42))+1,""),ROW()-132)),"")</f>
        <v>https://www.comunidad.madrid/transparencia/contratos</v>
      </c>
      <c r="D139" s="99" t="s">
        <v>103</v>
      </c>
      <c r="E139" s="79" t="str">
        <f t="shared" si="6"/>
        <v/>
      </c>
      <c r="F139" s="18"/>
      <c r="G139" s="18"/>
      <c r="H139" s="18"/>
      <c r="I139" s="18"/>
      <c r="J139" s="18"/>
      <c r="K139" s="183"/>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v>
      </c>
      <c r="C140" s="85" t="str" cm="1">
        <f t="array" ref="C140">IFERROR(INDEX('03.Muestra'!$F$8:$F$42,SMALL(IF("Página Web"='03.Muestra'!$D$8:$D$42,ROW('03.Muestra'!$F$8:$F$42)-MIN(ROW('03.Muestra'!$D$8:$D$42))+1,""),ROW()-132)),"")</f>
        <v>https://www.comunidad.madrid/transparencia/normativa-planificacion/consulta-publica</v>
      </c>
      <c r="D140" s="99" t="s">
        <v>103</v>
      </c>
      <c r="E140" s="79" t="str">
        <f t="shared" si="6"/>
        <v/>
      </c>
      <c r="F140" s="18"/>
      <c r="G140" s="18"/>
      <c r="H140" s="18"/>
      <c r="I140" s="18"/>
      <c r="J140" s="18"/>
      <c r="K140" s="183"/>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Proyecto</v>
      </c>
      <c r="C141" s="85" t="str" cm="1">
        <f t="array" ref="C141">IFERROR(INDEX('03.Muestra'!$F$8:$F$42,SMALL(IF("Página Web"='03.Muestra'!$D$8:$D$42,ROW('03.Muestra'!$F$8:$F$42)-MIN(ROW('03.Muestra'!$D$8:$D$42))+1,""),ROW()-132)),"")</f>
        <v>https://www.comunidad.madrid/transparencia/proyecto-orden-que-se-crea-comision-farmacia-y-productos-sanitarios-cm-y-se-establece-su-composicion</v>
      </c>
      <c r="D141" s="99" t="s">
        <v>103</v>
      </c>
      <c r="E141" s="79" t="str">
        <f t="shared" si="6"/>
        <v/>
      </c>
      <c r="F141" s="18"/>
      <c r="G141" s="18"/>
      <c r="H141" s="18"/>
      <c r="I141" s="18"/>
      <c r="J141" s="18"/>
      <c r="K141" s="183"/>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Planes y Programas</v>
      </c>
      <c r="C142" s="85" t="str" cm="1">
        <f t="array" ref="C142">IFERROR(INDEX('03.Muestra'!$F$8:$F$42,SMALL(IF("Página Web"='03.Muestra'!$D$8:$D$42,ROW('03.Muestra'!$F$8:$F$42)-MIN(ROW('03.Muestra'!$D$8:$D$42))+1,""),ROW()-132)),"")</f>
        <v>https://www.comunidad.madrid/transparencia/normativa-planificacion/planes-programas</v>
      </c>
      <c r="D142" s="99" t="s">
        <v>103</v>
      </c>
      <c r="E142" s="79" t="str">
        <f t="shared" si="6"/>
        <v/>
      </c>
      <c r="F142" s="18"/>
      <c r="G142" s="18"/>
      <c r="H142" s="18"/>
      <c r="I142" s="18"/>
      <c r="J142" s="18"/>
      <c r="K142" s="183"/>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Estrategia</v>
      </c>
      <c r="C143" s="85" t="str" cm="1">
        <f t="array" ref="C143">IFERROR(INDEX('03.Muestra'!$F$8:$F$42,SMALL(IF("Página Web"='03.Muestra'!$D$8:$D$42,ROW('03.Muestra'!$F$8:$F$42)-MIN(ROW('03.Muestra'!$D$8:$D$42))+1,""),ROW()-132)),"")</f>
        <v>https://www.comunidad.madrid/transparencia/informacion-institucional/planes-programas/estrategia-seguridad-del-paciente-del-servicio-madrileno</v>
      </c>
      <c r="D143" s="99" t="s">
        <v>103</v>
      </c>
      <c r="E143" s="79" t="str">
        <f t="shared" si="6"/>
        <v/>
      </c>
      <c r="F143" s="18"/>
      <c r="G143" s="18"/>
      <c r="H143" s="18"/>
      <c r="I143" s="18"/>
      <c r="J143" s="18"/>
      <c r="K143" s="183"/>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Huella</v>
      </c>
      <c r="C144" s="85" t="str" cm="1">
        <f t="array" ref="C144">IFERROR(INDEX('03.Muestra'!$F$8:$F$42,SMALL(IF("Página Web"='03.Muestra'!$D$8:$D$42,ROW('03.Muestra'!$F$8:$F$42)-MIN(ROW('03.Muestra'!$D$8:$D$42))+1,""),ROW()-132)),"")</f>
        <v>https://www.comunidad.madrid/transparencia/normativa-planificacion/huella-normativa</v>
      </c>
      <c r="D144" s="99" t="s">
        <v>103</v>
      </c>
      <c r="E144" s="79" t="str">
        <f t="shared" si="6"/>
        <v/>
      </c>
      <c r="F144" s="18"/>
      <c r="G144" s="18"/>
      <c r="H144" s="18"/>
      <c r="I144" s="18"/>
      <c r="J144" s="18"/>
      <c r="K144" s="183"/>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Decreto</v>
      </c>
      <c r="C145" s="85" t="str" cm="1">
        <f t="array" ref="C145">IFERROR(INDEX('03.Muestra'!$F$8:$F$42,SMALL(IF("Página Web"='03.Muestra'!$D$8:$D$42,ROW('03.Muestra'!$F$8:$F$42)-MIN(ROW('03.Muestra'!$D$8:$D$42))+1,""),ROW()-132)),"")</f>
        <v>https://www.comunidad.madrid/transparencia/decreto-del-consejo-gobierno-que-se-establece-estructura-organica-consejeria-familia-juventud-y</v>
      </c>
      <c r="D145" s="99" t="s">
        <v>103</v>
      </c>
      <c r="E145" s="79" t="str">
        <f t="shared" si="6"/>
        <v/>
      </c>
      <c r="F145" s="18"/>
      <c r="G145" s="18"/>
      <c r="H145" s="18"/>
      <c r="I145" s="18"/>
      <c r="J145" s="18"/>
      <c r="K145" s="183"/>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Entidades Locales</v>
      </c>
      <c r="C146" s="85" t="str" cm="1">
        <f t="array" ref="C146">IFERROR(INDEX('03.Muestra'!$F$8:$F$42,SMALL(IF("Página Web"='03.Muestra'!$D$8:$D$42,ROW('03.Muestra'!$F$8:$F$42)-MIN(ROW('03.Muestra'!$D$8:$D$42))+1,""),ROW()-132)),"")</f>
        <v>https://www.comunidad.madrid/transparencia/entidades-locales</v>
      </c>
      <c r="D146" s="99" t="s">
        <v>103</v>
      </c>
      <c r="E146" s="79" t="str">
        <f t="shared" si="6"/>
        <v/>
      </c>
      <c r="F146" s="18"/>
      <c r="G146" s="18"/>
      <c r="H146" s="18"/>
      <c r="I146" s="18"/>
      <c r="J146" s="18"/>
      <c r="K146" s="183"/>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3"/>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3"/>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3"/>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3"/>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3"/>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3"/>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3"/>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3"/>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3"/>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3"/>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3"/>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3"/>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3"/>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3"/>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3"/>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3"/>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3"/>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3"/>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3"/>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3"/>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3"/>
    </row>
    <row r="168" spans="1:11" ht="12" customHeight="1">
      <c r="B168" s="18"/>
      <c r="C168" s="18"/>
      <c r="D168" s="79"/>
      <c r="E168" s="79"/>
      <c r="F168" s="18"/>
      <c r="G168" s="18"/>
      <c r="H168" s="18"/>
      <c r="I168" s="18"/>
      <c r="J168" s="18"/>
      <c r="K168" s="183"/>
    </row>
    <row r="169" spans="1:11" ht="12" customHeight="1">
      <c r="B169" s="18"/>
      <c r="C169" s="18"/>
      <c r="D169" s="79"/>
      <c r="E169" s="83"/>
      <c r="F169" s="18"/>
      <c r="G169" s="18"/>
      <c r="H169" s="18"/>
      <c r="I169" s="18"/>
      <c r="J169" s="18"/>
      <c r="K169" s="183"/>
    </row>
    <row r="170" spans="1:11" ht="29.25" customHeight="1">
      <c r="A170" s="172" t="s">
        <v>98</v>
      </c>
      <c r="B170" s="23" t="s">
        <v>90</v>
      </c>
      <c r="C170" s="24" t="s">
        <v>243</v>
      </c>
      <c r="D170" s="25" t="s">
        <v>100</v>
      </c>
      <c r="E170" s="93"/>
      <c r="K170" s="183"/>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103</v>
      </c>
      <c r="E171" s="79" t="str">
        <f t="shared" ref="E171:E205" si="8">IF(D171&lt;&gt;"",IF(AND(B171&lt;&gt;"",C171&lt;&gt;""),"","ERR"),"")</f>
        <v/>
      </c>
      <c r="F171" s="86" t="s">
        <v>101</v>
      </c>
      <c r="G171" s="87" t="s">
        <v>102</v>
      </c>
      <c r="H171" s="88" t="s">
        <v>103</v>
      </c>
      <c r="I171" s="89" t="s">
        <v>93</v>
      </c>
      <c r="J171" s="90" t="s">
        <v>91</v>
      </c>
      <c r="K171" s="178" t="s">
        <v>97</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Aviso legal</v>
      </c>
      <c r="C172" s="85" t="str" cm="1">
        <f t="array" ref="C172">IFERROR(INDEX('03.Muestra'!$F$8:$F$42,SMALL(IF("Página Web"='03.Muestra'!$D$8:$D$42,ROW('03.Muestra'!$F$8:$F$42)-MIN(ROW('03.Muestra'!$D$8:$D$42))+1,""),ROW()-170)),"")</f>
        <v>https://www.comunidad.madrid/transparencia/aviso-legal</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79">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Accesibilidad</v>
      </c>
      <c r="C173" s="85" t="str" cm="1">
        <f t="array" ref="C173">IFERROR(INDEX('03.Muestra'!$F$8:$F$42,SMALL(IF("Página Web"='03.Muestra'!$D$8:$D$42,ROW('03.Muestra'!$F$8:$F$42)-MIN(ROW('03.Muestra'!$D$8:$D$42))+1,""),ROW()-170)),"")</f>
        <v>https://www.comunidad.madrid/transparencia/declaracion-accesibilidad</v>
      </c>
      <c r="D173" s="99" t="s">
        <v>103</v>
      </c>
      <c r="E173" s="79" t="str">
        <f t="shared" si="8"/>
        <v/>
      </c>
      <c r="K173" s="183"/>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Tranparencia</v>
      </c>
      <c r="C174" s="85" t="str" cm="1">
        <f t="array" ref="C174">IFERROR(INDEX('03.Muestra'!$F$8:$F$42,SMALL(IF("Página Web"='03.Muestra'!$D$8:$D$42,ROW('03.Muestra'!$F$8:$F$42)-MIN(ROW('03.Muestra'!$D$8:$D$42))+1,""),ROW()-170)),"")</f>
        <v>https://www.comunidad.madrid/transparencia/que-es-transparencia</v>
      </c>
      <c r="D174" s="99" t="s">
        <v>103</v>
      </c>
      <c r="E174" s="79" t="str">
        <f t="shared" si="8"/>
        <v/>
      </c>
      <c r="G174" s="18"/>
      <c r="H174" s="18"/>
      <c r="I174" s="18"/>
      <c r="J174" s="18"/>
      <c r="K174" s="183"/>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Organización</v>
      </c>
      <c r="C175" s="85" t="str" cm="1">
        <f t="array" ref="C175">IFERROR(INDEX('03.Muestra'!$F$8:$F$42,SMALL(IF("Página Web"='03.Muestra'!$D$8:$D$42,ROW('03.Muestra'!$F$8:$F$42)-MIN(ROW('03.Muestra'!$D$8:$D$42))+1,""),ROW()-170)),"")</f>
        <v>https://www.comunidad.madrid/transparencia/organizacion-recursos/organizacion</v>
      </c>
      <c r="D175" s="99" t="s">
        <v>103</v>
      </c>
      <c r="E175" s="79" t="str">
        <f t="shared" si="8"/>
        <v/>
      </c>
      <c r="G175" s="18"/>
      <c r="H175" s="18"/>
      <c r="I175" s="18"/>
      <c r="J175" s="18"/>
      <c r="K175" s="183"/>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Quejas</v>
      </c>
      <c r="C176" s="85" t="str" cm="1">
        <f t="array" ref="C176">IFERROR(INDEX('03.Muestra'!$F$8:$F$42,SMALL(IF("Página Web"='03.Muestra'!$D$8:$D$42,ROW('03.Muestra'!$F$8:$F$42)-MIN(ROW('03.Muestra'!$D$8:$D$42))+1,""),ROW()-170)),"")</f>
        <v>https://www.comunidad.madrid/transparencia/quejas-y-reclamaciones</v>
      </c>
      <c r="D176" s="99" t="s">
        <v>103</v>
      </c>
      <c r="E176" s="79" t="str">
        <f t="shared" si="8"/>
        <v/>
      </c>
      <c r="G176" s="18"/>
      <c r="H176" s="18"/>
      <c r="I176" s="18"/>
      <c r="J176" s="18"/>
      <c r="K176" s="183"/>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Contratos</v>
      </c>
      <c r="C177" s="85" t="str" cm="1">
        <f t="array" ref="C177">IFERROR(INDEX('03.Muestra'!$F$8:$F$42,SMALL(IF("Página Web"='03.Muestra'!$D$8:$D$42,ROW('03.Muestra'!$F$8:$F$42)-MIN(ROW('03.Muestra'!$D$8:$D$42))+1,""),ROW()-170)),"")</f>
        <v>https://www.comunidad.madrid/transparencia/contratos</v>
      </c>
      <c r="D177" s="99" t="s">
        <v>103</v>
      </c>
      <c r="E177" s="79" t="str">
        <f t="shared" si="8"/>
        <v/>
      </c>
      <c r="F177" s="18"/>
      <c r="G177" s="18"/>
      <c r="H177" s="18"/>
      <c r="I177" s="18"/>
      <c r="J177" s="18"/>
      <c r="K177" s="183"/>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v>
      </c>
      <c r="C178" s="85" t="str" cm="1">
        <f t="array" ref="C178">IFERROR(INDEX('03.Muestra'!$F$8:$F$42,SMALL(IF("Página Web"='03.Muestra'!$D$8:$D$42,ROW('03.Muestra'!$F$8:$F$42)-MIN(ROW('03.Muestra'!$D$8:$D$42))+1,""),ROW()-170)),"")</f>
        <v>https://www.comunidad.madrid/transparencia/normativa-planificacion/consulta-publica</v>
      </c>
      <c r="D178" s="99" t="s">
        <v>103</v>
      </c>
      <c r="E178" s="79" t="str">
        <f t="shared" si="8"/>
        <v/>
      </c>
      <c r="F178" s="18"/>
      <c r="G178" s="18"/>
      <c r="H178" s="18"/>
      <c r="I178" s="18"/>
      <c r="J178" s="18"/>
      <c r="K178" s="183"/>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Proyecto</v>
      </c>
      <c r="C179" s="85" t="str" cm="1">
        <f t="array" ref="C179">IFERROR(INDEX('03.Muestra'!$F$8:$F$42,SMALL(IF("Página Web"='03.Muestra'!$D$8:$D$42,ROW('03.Muestra'!$F$8:$F$42)-MIN(ROW('03.Muestra'!$D$8:$D$42))+1,""),ROW()-170)),"")</f>
        <v>https://www.comunidad.madrid/transparencia/proyecto-orden-que-se-crea-comision-farmacia-y-productos-sanitarios-cm-y-se-establece-su-composicion</v>
      </c>
      <c r="D179" s="99" t="s">
        <v>103</v>
      </c>
      <c r="E179" s="79" t="str">
        <f t="shared" si="8"/>
        <v/>
      </c>
      <c r="F179" s="18"/>
      <c r="G179" s="18"/>
      <c r="H179" s="18"/>
      <c r="I179" s="18"/>
      <c r="J179" s="18"/>
      <c r="K179" s="183"/>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Planes y Programas</v>
      </c>
      <c r="C180" s="85" t="str" cm="1">
        <f t="array" ref="C180">IFERROR(INDEX('03.Muestra'!$F$8:$F$42,SMALL(IF("Página Web"='03.Muestra'!$D$8:$D$42,ROW('03.Muestra'!$F$8:$F$42)-MIN(ROW('03.Muestra'!$D$8:$D$42))+1,""),ROW()-170)),"")</f>
        <v>https://www.comunidad.madrid/transparencia/normativa-planificacion/planes-programas</v>
      </c>
      <c r="D180" s="99" t="s">
        <v>103</v>
      </c>
      <c r="E180" s="79" t="str">
        <f t="shared" si="8"/>
        <v/>
      </c>
      <c r="F180" s="18"/>
      <c r="G180" s="18"/>
      <c r="H180" s="18"/>
      <c r="I180" s="18"/>
      <c r="J180" s="18"/>
      <c r="K180" s="183"/>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Estrategia</v>
      </c>
      <c r="C181" s="85" t="str" cm="1">
        <f t="array" ref="C181">IFERROR(INDEX('03.Muestra'!$F$8:$F$42,SMALL(IF("Página Web"='03.Muestra'!$D$8:$D$42,ROW('03.Muestra'!$F$8:$F$42)-MIN(ROW('03.Muestra'!$D$8:$D$42))+1,""),ROW()-170)),"")</f>
        <v>https://www.comunidad.madrid/transparencia/informacion-institucional/planes-programas/estrategia-seguridad-del-paciente-del-servicio-madrileno</v>
      </c>
      <c r="D181" s="99" t="s">
        <v>103</v>
      </c>
      <c r="E181" s="79" t="str">
        <f t="shared" si="8"/>
        <v/>
      </c>
      <c r="F181" s="18"/>
      <c r="G181" s="18"/>
      <c r="H181" s="18"/>
      <c r="I181" s="18"/>
      <c r="J181" s="18"/>
      <c r="K181" s="183"/>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Huella</v>
      </c>
      <c r="C182" s="85" t="str" cm="1">
        <f t="array" ref="C182">IFERROR(INDEX('03.Muestra'!$F$8:$F$42,SMALL(IF("Página Web"='03.Muestra'!$D$8:$D$42,ROW('03.Muestra'!$F$8:$F$42)-MIN(ROW('03.Muestra'!$D$8:$D$42))+1,""),ROW()-170)),"")</f>
        <v>https://www.comunidad.madrid/transparencia/normativa-planificacion/huella-normativa</v>
      </c>
      <c r="D182" s="99" t="s">
        <v>103</v>
      </c>
      <c r="E182" s="79" t="str">
        <f t="shared" si="8"/>
        <v/>
      </c>
      <c r="F182" s="18"/>
      <c r="G182" s="18"/>
      <c r="H182" s="18"/>
      <c r="I182" s="18"/>
      <c r="J182" s="18"/>
      <c r="K182" s="183"/>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Decreto</v>
      </c>
      <c r="C183" s="85" t="str" cm="1">
        <f t="array" ref="C183">IFERROR(INDEX('03.Muestra'!$F$8:$F$42,SMALL(IF("Página Web"='03.Muestra'!$D$8:$D$42,ROW('03.Muestra'!$F$8:$F$42)-MIN(ROW('03.Muestra'!$D$8:$D$42))+1,""),ROW()-170)),"")</f>
        <v>https://www.comunidad.madrid/transparencia/decreto-del-consejo-gobierno-que-se-establece-estructura-organica-consejeria-familia-juventud-y</v>
      </c>
      <c r="D183" s="99" t="s">
        <v>103</v>
      </c>
      <c r="E183" s="79" t="str">
        <f t="shared" si="8"/>
        <v/>
      </c>
      <c r="F183" s="18"/>
      <c r="G183" s="18"/>
      <c r="H183" s="18"/>
      <c r="I183" s="18"/>
      <c r="J183" s="18"/>
      <c r="K183" s="183"/>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Entidades Locales</v>
      </c>
      <c r="C184" s="85" t="str" cm="1">
        <f t="array" ref="C184">IFERROR(INDEX('03.Muestra'!$F$8:$F$42,SMALL(IF("Página Web"='03.Muestra'!$D$8:$D$42,ROW('03.Muestra'!$F$8:$F$42)-MIN(ROW('03.Muestra'!$D$8:$D$42))+1,""),ROW()-170)),"")</f>
        <v>https://www.comunidad.madrid/transparencia/entidades-locales</v>
      </c>
      <c r="D184" s="99" t="s">
        <v>103</v>
      </c>
      <c r="E184" s="79" t="str">
        <f t="shared" si="8"/>
        <v/>
      </c>
      <c r="F184" s="18"/>
      <c r="G184" s="18"/>
      <c r="H184" s="18"/>
      <c r="I184" s="18"/>
      <c r="J184" s="18"/>
      <c r="K184" s="183"/>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3"/>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3"/>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3"/>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3"/>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3"/>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3"/>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3"/>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3"/>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3"/>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3"/>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3"/>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3"/>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3"/>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3"/>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3"/>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3"/>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3"/>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3"/>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3"/>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3"/>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3"/>
    </row>
    <row r="206" spans="1:11" ht="12" customHeight="1">
      <c r="B206" s="18"/>
      <c r="C206" s="18"/>
      <c r="D206" s="79"/>
      <c r="E206" s="79"/>
      <c r="F206" s="18"/>
      <c r="G206" s="18"/>
      <c r="H206" s="18"/>
      <c r="I206" s="18"/>
      <c r="J206" s="18"/>
      <c r="K206" s="183"/>
    </row>
    <row r="207" spans="1:11" ht="12" customHeight="1">
      <c r="B207" s="18"/>
      <c r="C207" s="18"/>
      <c r="D207" s="79"/>
      <c r="E207" s="83"/>
      <c r="F207" s="18"/>
      <c r="G207" s="18"/>
      <c r="H207" s="18"/>
      <c r="I207" s="18"/>
      <c r="J207" s="18"/>
      <c r="K207" s="183"/>
    </row>
    <row r="208" spans="1:11" ht="29.25" customHeight="1">
      <c r="A208" s="172" t="s">
        <v>98</v>
      </c>
      <c r="B208" s="23" t="s">
        <v>90</v>
      </c>
      <c r="C208" s="24" t="s">
        <v>244</v>
      </c>
      <c r="D208" s="25" t="s">
        <v>100</v>
      </c>
      <c r="E208" s="93"/>
      <c r="K208" s="183"/>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https://www.comunidad.madrid/transparencia/</v>
      </c>
      <c r="D209" s="99" t="s">
        <v>103</v>
      </c>
      <c r="E209" s="79" t="str">
        <f t="shared" ref="E209:E243" si="10">IF(D209&lt;&gt;"",IF(AND(B209&lt;&gt;"",C209&lt;&gt;""),"","ERR"),"")</f>
        <v/>
      </c>
      <c r="F209" s="86" t="s">
        <v>101</v>
      </c>
      <c r="G209" s="87" t="s">
        <v>102</v>
      </c>
      <c r="H209" s="88" t="s">
        <v>103</v>
      </c>
      <c r="I209" s="89" t="s">
        <v>93</v>
      </c>
      <c r="J209" s="90" t="s">
        <v>91</v>
      </c>
      <c r="K209" s="178" t="s">
        <v>97</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Aviso legal</v>
      </c>
      <c r="C210" s="85" t="str" cm="1">
        <f t="array" ref="C210">IFERROR(INDEX('03.Muestra'!$F$8:$F$42,SMALL(IF("Página Web"='03.Muestra'!$D$8:$D$42,ROW('03.Muestra'!$F$8:$F$42)-MIN(ROW('03.Muestra'!$D$8:$D$42))+1,""),ROW()-208)),"")</f>
        <v>https://www.comunidad.madrid/transparencia/aviso-legal</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14</v>
      </c>
      <c r="I210" s="91">
        <f ca="1">COUNTIF($D209:INDIRECT("$D" &amp;  SUM(ROW()-1,'03.Muestra'!$D$45)-1),I209)</f>
        <v>0</v>
      </c>
      <c r="J210" s="91">
        <f ca="1">COUNTIF($D209:INDIRECT("$D" &amp;  SUM(ROW()-1,'03.Muestra'!$D$45)-1),J209)</f>
        <v>0</v>
      </c>
      <c r="K210" s="179">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Accesibilidad</v>
      </c>
      <c r="C211" s="85" t="str" cm="1">
        <f t="array" ref="C211">IFERROR(INDEX('03.Muestra'!$F$8:$F$42,SMALL(IF("Página Web"='03.Muestra'!$D$8:$D$42,ROW('03.Muestra'!$F$8:$F$42)-MIN(ROW('03.Muestra'!$D$8:$D$42))+1,""),ROW()-208)),"")</f>
        <v>https://www.comunidad.madrid/transparencia/declaracion-accesibilidad</v>
      </c>
      <c r="D211" s="99" t="s">
        <v>103</v>
      </c>
      <c r="E211" s="79" t="str">
        <f t="shared" si="10"/>
        <v/>
      </c>
      <c r="G211" s="18"/>
      <c r="H211" s="18"/>
      <c r="I211" s="18"/>
      <c r="J211" s="18"/>
      <c r="K211" s="183"/>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Tranparencia</v>
      </c>
      <c r="C212" s="85" t="str" cm="1">
        <f t="array" ref="C212">IFERROR(INDEX('03.Muestra'!$F$8:$F$42,SMALL(IF("Página Web"='03.Muestra'!$D$8:$D$42,ROW('03.Muestra'!$F$8:$F$42)-MIN(ROW('03.Muestra'!$D$8:$D$42))+1,""),ROW()-208)),"")</f>
        <v>https://www.comunidad.madrid/transparencia/que-es-transparencia</v>
      </c>
      <c r="D212" s="99" t="s">
        <v>103</v>
      </c>
      <c r="E212" s="79" t="str">
        <f t="shared" si="10"/>
        <v/>
      </c>
      <c r="G212" s="18"/>
      <c r="H212" s="18"/>
      <c r="I212" s="18"/>
      <c r="J212" s="18"/>
      <c r="K212" s="183"/>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Organización</v>
      </c>
      <c r="C213" s="85" t="str" cm="1">
        <f t="array" ref="C213">IFERROR(INDEX('03.Muestra'!$F$8:$F$42,SMALL(IF("Página Web"='03.Muestra'!$D$8:$D$42,ROW('03.Muestra'!$F$8:$F$42)-MIN(ROW('03.Muestra'!$D$8:$D$42))+1,""),ROW()-208)),"")</f>
        <v>https://www.comunidad.madrid/transparencia/organizacion-recursos/organizacion</v>
      </c>
      <c r="D213" s="99" t="s">
        <v>103</v>
      </c>
      <c r="E213" s="79" t="str">
        <f t="shared" si="10"/>
        <v/>
      </c>
      <c r="G213" s="18"/>
      <c r="H213" s="18"/>
      <c r="I213" s="18"/>
      <c r="J213" s="18"/>
      <c r="K213" s="183"/>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Quejas</v>
      </c>
      <c r="C214" s="85" t="str" cm="1">
        <f t="array" ref="C214">IFERROR(INDEX('03.Muestra'!$F$8:$F$42,SMALL(IF("Página Web"='03.Muestra'!$D$8:$D$42,ROW('03.Muestra'!$F$8:$F$42)-MIN(ROW('03.Muestra'!$D$8:$D$42))+1,""),ROW()-208)),"")</f>
        <v>https://www.comunidad.madrid/transparencia/quejas-y-reclamaciones</v>
      </c>
      <c r="D214" s="99" t="s">
        <v>103</v>
      </c>
      <c r="E214" s="79" t="str">
        <f t="shared" si="10"/>
        <v/>
      </c>
      <c r="G214" s="18"/>
      <c r="H214" s="18"/>
      <c r="I214" s="18"/>
      <c r="J214" s="18"/>
      <c r="K214" s="183"/>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Contratos</v>
      </c>
      <c r="C215" s="85" t="str" cm="1">
        <f t="array" ref="C215">IFERROR(INDEX('03.Muestra'!$F$8:$F$42,SMALL(IF("Página Web"='03.Muestra'!$D$8:$D$42,ROW('03.Muestra'!$F$8:$F$42)-MIN(ROW('03.Muestra'!$D$8:$D$42))+1,""),ROW()-208)),"")</f>
        <v>https://www.comunidad.madrid/transparencia/contratos</v>
      </c>
      <c r="D215" s="99" t="s">
        <v>103</v>
      </c>
      <c r="E215" s="79" t="str">
        <f t="shared" si="10"/>
        <v/>
      </c>
      <c r="F215" s="18"/>
      <c r="G215" s="18"/>
      <c r="H215" s="18"/>
      <c r="I215" s="18"/>
      <c r="J215" s="18"/>
      <c r="K215" s="183"/>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Consulta</v>
      </c>
      <c r="C216" s="85" t="str" cm="1">
        <f t="array" ref="C216">IFERROR(INDEX('03.Muestra'!$F$8:$F$42,SMALL(IF("Página Web"='03.Muestra'!$D$8:$D$42,ROW('03.Muestra'!$F$8:$F$42)-MIN(ROW('03.Muestra'!$D$8:$D$42))+1,""),ROW()-208)),"")</f>
        <v>https://www.comunidad.madrid/transparencia/normativa-planificacion/consulta-publica</v>
      </c>
      <c r="D216" s="99" t="s">
        <v>103</v>
      </c>
      <c r="E216" s="79" t="str">
        <f t="shared" si="10"/>
        <v/>
      </c>
      <c r="F216" s="18"/>
      <c r="G216" s="18"/>
      <c r="H216" s="18"/>
      <c r="I216" s="18"/>
      <c r="J216" s="18"/>
      <c r="K216" s="183"/>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Proyecto</v>
      </c>
      <c r="C217" s="85" t="str" cm="1">
        <f t="array" ref="C217">IFERROR(INDEX('03.Muestra'!$F$8:$F$42,SMALL(IF("Página Web"='03.Muestra'!$D$8:$D$42,ROW('03.Muestra'!$F$8:$F$42)-MIN(ROW('03.Muestra'!$D$8:$D$42))+1,""),ROW()-208)),"")</f>
        <v>https://www.comunidad.madrid/transparencia/proyecto-orden-que-se-crea-comision-farmacia-y-productos-sanitarios-cm-y-se-establece-su-composicion</v>
      </c>
      <c r="D217" s="99" t="s">
        <v>103</v>
      </c>
      <c r="E217" s="79" t="str">
        <f t="shared" si="10"/>
        <v/>
      </c>
      <c r="F217" s="18"/>
      <c r="G217" s="18"/>
      <c r="H217" s="18"/>
      <c r="I217" s="18"/>
      <c r="J217" s="18"/>
      <c r="K217" s="183"/>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Planes y Programas</v>
      </c>
      <c r="C218" s="85" t="str" cm="1">
        <f t="array" ref="C218">IFERROR(INDEX('03.Muestra'!$F$8:$F$42,SMALL(IF("Página Web"='03.Muestra'!$D$8:$D$42,ROW('03.Muestra'!$F$8:$F$42)-MIN(ROW('03.Muestra'!$D$8:$D$42))+1,""),ROW()-208)),"")</f>
        <v>https://www.comunidad.madrid/transparencia/normativa-planificacion/planes-programas</v>
      </c>
      <c r="D218" s="99" t="s">
        <v>103</v>
      </c>
      <c r="E218" s="79" t="str">
        <f t="shared" si="10"/>
        <v/>
      </c>
      <c r="F218" s="18"/>
      <c r="G218" s="18"/>
      <c r="H218" s="18"/>
      <c r="I218" s="18"/>
      <c r="J218" s="18"/>
      <c r="K218" s="183"/>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Estrategia</v>
      </c>
      <c r="C219" s="85" t="str" cm="1">
        <f t="array" ref="C219">IFERROR(INDEX('03.Muestra'!$F$8:$F$42,SMALL(IF("Página Web"='03.Muestra'!$D$8:$D$42,ROW('03.Muestra'!$F$8:$F$42)-MIN(ROW('03.Muestra'!$D$8:$D$42))+1,""),ROW()-208)),"")</f>
        <v>https://www.comunidad.madrid/transparencia/informacion-institucional/planes-programas/estrategia-seguridad-del-paciente-del-servicio-madrileno</v>
      </c>
      <c r="D219" s="99" t="s">
        <v>103</v>
      </c>
      <c r="E219" s="79" t="str">
        <f t="shared" si="10"/>
        <v/>
      </c>
      <c r="F219" s="18"/>
      <c r="G219" s="18"/>
      <c r="H219" s="18"/>
      <c r="I219" s="18"/>
      <c r="J219" s="18"/>
      <c r="K219" s="183"/>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Huella</v>
      </c>
      <c r="C220" s="85" t="str" cm="1">
        <f t="array" ref="C220">IFERROR(INDEX('03.Muestra'!$F$8:$F$42,SMALL(IF("Página Web"='03.Muestra'!$D$8:$D$42,ROW('03.Muestra'!$F$8:$F$42)-MIN(ROW('03.Muestra'!$D$8:$D$42))+1,""),ROW()-208)),"")</f>
        <v>https://www.comunidad.madrid/transparencia/normativa-planificacion/huella-normativa</v>
      </c>
      <c r="D220" s="99" t="s">
        <v>103</v>
      </c>
      <c r="E220" s="79" t="str">
        <f t="shared" si="10"/>
        <v/>
      </c>
      <c r="F220" s="18"/>
      <c r="G220" s="18"/>
      <c r="H220" s="18"/>
      <c r="I220" s="18"/>
      <c r="J220" s="18"/>
      <c r="K220" s="183"/>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Decreto</v>
      </c>
      <c r="C221" s="85" t="str" cm="1">
        <f t="array" ref="C221">IFERROR(INDEX('03.Muestra'!$F$8:$F$42,SMALL(IF("Página Web"='03.Muestra'!$D$8:$D$42,ROW('03.Muestra'!$F$8:$F$42)-MIN(ROW('03.Muestra'!$D$8:$D$42))+1,""),ROW()-208)),"")</f>
        <v>https://www.comunidad.madrid/transparencia/decreto-del-consejo-gobierno-que-se-establece-estructura-organica-consejeria-familia-juventud-y</v>
      </c>
      <c r="D221" s="99" t="s">
        <v>103</v>
      </c>
      <c r="E221" s="79" t="str">
        <f t="shared" si="10"/>
        <v/>
      </c>
      <c r="F221" s="18"/>
      <c r="G221" s="18"/>
      <c r="H221" s="18"/>
      <c r="I221" s="18"/>
      <c r="J221" s="18"/>
      <c r="K221" s="183"/>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Entidades Locales</v>
      </c>
      <c r="C222" s="85" t="str" cm="1">
        <f t="array" ref="C222">IFERROR(INDEX('03.Muestra'!$F$8:$F$42,SMALL(IF("Página Web"='03.Muestra'!$D$8:$D$42,ROW('03.Muestra'!$F$8:$F$42)-MIN(ROW('03.Muestra'!$D$8:$D$42))+1,""),ROW()-208)),"")</f>
        <v>https://www.comunidad.madrid/transparencia/entidades-locales</v>
      </c>
      <c r="D222" s="99" t="s">
        <v>103</v>
      </c>
      <c r="E222" s="79" t="str">
        <f t="shared" si="10"/>
        <v/>
      </c>
      <c r="F222" s="18"/>
      <c r="G222" s="18"/>
      <c r="H222" s="18"/>
      <c r="I222" s="18"/>
      <c r="J222" s="18"/>
      <c r="K222" s="183"/>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c r="E223" s="79" t="str">
        <f t="shared" si="10"/>
        <v/>
      </c>
      <c r="F223" s="18"/>
      <c r="G223" s="18"/>
      <c r="H223" s="18"/>
      <c r="I223" s="18"/>
      <c r="J223" s="18"/>
      <c r="K223" s="183"/>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ref="D224:D243" si="11">IF(AND(B224&lt;&gt;"",C224&lt;&gt;""),"N/T","")</f>
        <v/>
      </c>
      <c r="E224" s="79" t="str">
        <f t="shared" si="10"/>
        <v/>
      </c>
      <c r="F224" s="18"/>
      <c r="G224" s="18"/>
      <c r="H224" s="18"/>
      <c r="I224" s="18"/>
      <c r="J224" s="18"/>
      <c r="K224" s="183"/>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3"/>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3"/>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3"/>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3"/>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3"/>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3"/>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3"/>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3"/>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3"/>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3"/>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3"/>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3"/>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3"/>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3"/>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3"/>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3"/>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3"/>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3"/>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E19:E53 E57:E91 E95:E129 E133:E167 E171:E205 E209:E243">
    <cfRule type="cellIs" dxfId="349" priority="1352" stopIfTrue="1" operator="equal">
      <formula>"ERR"</formula>
    </cfRule>
  </conditionalFormatting>
  <conditionalFormatting sqref="F19:J19 F57:J57 F95:J95 F133:J133 F171:J171 F209:J209 D19:D53 D57:D91 D95:D129 D133:D167 D171:D205 D209:D243">
    <cfRule type="expression" dxfId="348" priority="1346" stopIfTrue="1">
      <formula>ISBLANK(D19)</formula>
    </cfRule>
    <cfRule type="cellIs" dxfId="347" priority="1347" stopIfTrue="1" operator="equal">
      <formula>"Pasa"</formula>
    </cfRule>
    <cfRule type="cellIs" dxfId="346" priority="1348" stopIfTrue="1" operator="equal">
      <formula>"Falla"</formula>
    </cfRule>
    <cfRule type="cellIs" dxfId="345" priority="1349" stopIfTrue="1" operator="equal">
      <formula>"N/A"</formula>
    </cfRule>
    <cfRule type="cellIs" dxfId="344" priority="1350" stopIfTrue="1" operator="equal">
      <formula>"N/T"</formula>
    </cfRule>
    <cfRule type="cellIs" dxfId="343" priority="1351" stopIfTrue="1" operator="equal">
      <formula>"N/D"</formula>
    </cfRule>
  </conditionalFormatting>
  <conditionalFormatting sqref="D1:D7 D11:D1048576">
    <cfRule type="cellIs" dxfId="342" priority="1099" stopIfTrue="1" operator="equal">
      <formula>"-"</formula>
    </cfRule>
  </conditionalFormatting>
  <conditionalFormatting sqref="D19:D53">
    <cfRule type="expression" dxfId="341" priority="589" stopIfTrue="1">
      <formula>ISBLANK(D19)</formula>
    </cfRule>
    <cfRule type="cellIs" dxfId="340" priority="590" stopIfTrue="1" operator="equal">
      <formula>"Pasa"</formula>
    </cfRule>
    <cfRule type="cellIs" dxfId="339" priority="591" stopIfTrue="1" operator="equal">
      <formula>"Falla"</formula>
    </cfRule>
    <cfRule type="cellIs" dxfId="338" priority="592" stopIfTrue="1" operator="equal">
      <formula>"N/A"</formula>
    </cfRule>
    <cfRule type="cellIs" dxfId="337" priority="593" stopIfTrue="1" operator="equal">
      <formula>"N/T"</formula>
    </cfRule>
    <cfRule type="cellIs" dxfId="336" priority="594" stopIfTrue="1" operator="equal">
      <formula>"N/D"</formula>
    </cfRule>
  </conditionalFormatting>
  <conditionalFormatting sqref="D19:D53">
    <cfRule type="expression" dxfId="335" priority="583" stopIfTrue="1">
      <formula>ISBLANK(D19)</formula>
    </cfRule>
    <cfRule type="cellIs" dxfId="334" priority="584" stopIfTrue="1" operator="equal">
      <formula>"Pasa"</formula>
    </cfRule>
    <cfRule type="cellIs" dxfId="333" priority="585" stopIfTrue="1" operator="equal">
      <formula>"Falla"</formula>
    </cfRule>
    <cfRule type="cellIs" dxfId="332" priority="586" stopIfTrue="1" operator="equal">
      <formula>"N/A"</formula>
    </cfRule>
    <cfRule type="cellIs" dxfId="331" priority="587" stopIfTrue="1" operator="equal">
      <formula>"N/T"</formula>
    </cfRule>
    <cfRule type="cellIs" dxfId="330" priority="588" stopIfTrue="1" operator="equal">
      <formula>"N/D"</formula>
    </cfRule>
  </conditionalFormatting>
  <conditionalFormatting sqref="D57:D91">
    <cfRule type="expression" dxfId="329" priority="577" stopIfTrue="1">
      <formula>ISBLANK(D57)</formula>
    </cfRule>
    <cfRule type="cellIs" dxfId="328" priority="578" stopIfTrue="1" operator="equal">
      <formula>"Pasa"</formula>
    </cfRule>
    <cfRule type="cellIs" dxfId="327" priority="579" stopIfTrue="1" operator="equal">
      <formula>"Falla"</formula>
    </cfRule>
    <cfRule type="cellIs" dxfId="326" priority="580" stopIfTrue="1" operator="equal">
      <formula>"N/A"</formula>
    </cfRule>
    <cfRule type="cellIs" dxfId="325" priority="581" stopIfTrue="1" operator="equal">
      <formula>"N/T"</formula>
    </cfRule>
    <cfRule type="cellIs" dxfId="324" priority="582" stopIfTrue="1" operator="equal">
      <formula>"N/D"</formula>
    </cfRule>
  </conditionalFormatting>
  <conditionalFormatting sqref="D57:D91">
    <cfRule type="expression" dxfId="323" priority="571" stopIfTrue="1">
      <formula>ISBLANK(D57)</formula>
    </cfRule>
    <cfRule type="cellIs" dxfId="322" priority="572" stopIfTrue="1" operator="equal">
      <formula>"Pasa"</formula>
    </cfRule>
    <cfRule type="cellIs" dxfId="321" priority="573" stopIfTrue="1" operator="equal">
      <formula>"Falla"</formula>
    </cfRule>
    <cfRule type="cellIs" dxfId="320" priority="574" stopIfTrue="1" operator="equal">
      <formula>"N/A"</formula>
    </cfRule>
    <cfRule type="cellIs" dxfId="319" priority="575" stopIfTrue="1" operator="equal">
      <formula>"N/T"</formula>
    </cfRule>
    <cfRule type="cellIs" dxfId="318" priority="576" stopIfTrue="1" operator="equal">
      <formula>"N/D"</formula>
    </cfRule>
  </conditionalFormatting>
  <conditionalFormatting sqref="D95:D129">
    <cfRule type="expression" dxfId="317" priority="565" stopIfTrue="1">
      <formula>ISBLANK(D95)</formula>
    </cfRule>
    <cfRule type="cellIs" dxfId="316" priority="566" stopIfTrue="1" operator="equal">
      <formula>"Pasa"</formula>
    </cfRule>
    <cfRule type="cellIs" dxfId="315" priority="567" stopIfTrue="1" operator="equal">
      <formula>"Falla"</formula>
    </cfRule>
    <cfRule type="cellIs" dxfId="314" priority="568" stopIfTrue="1" operator="equal">
      <formula>"N/A"</formula>
    </cfRule>
    <cfRule type="cellIs" dxfId="313" priority="569" stopIfTrue="1" operator="equal">
      <formula>"N/T"</formula>
    </cfRule>
    <cfRule type="cellIs" dxfId="312" priority="570" stopIfTrue="1" operator="equal">
      <formula>"N/D"</formula>
    </cfRule>
  </conditionalFormatting>
  <conditionalFormatting sqref="D95:D129">
    <cfRule type="expression" dxfId="311" priority="559" stopIfTrue="1">
      <formula>ISBLANK(D95)</formula>
    </cfRule>
    <cfRule type="cellIs" dxfId="310" priority="560" stopIfTrue="1" operator="equal">
      <formula>"Pasa"</formula>
    </cfRule>
    <cfRule type="cellIs" dxfId="309" priority="561" stopIfTrue="1" operator="equal">
      <formula>"Falla"</formula>
    </cfRule>
    <cfRule type="cellIs" dxfId="308" priority="562" stopIfTrue="1" operator="equal">
      <formula>"N/A"</formula>
    </cfRule>
    <cfRule type="cellIs" dxfId="307" priority="563" stopIfTrue="1" operator="equal">
      <formula>"N/T"</formula>
    </cfRule>
    <cfRule type="cellIs" dxfId="306" priority="564" stopIfTrue="1" operator="equal">
      <formula>"N/D"</formula>
    </cfRule>
  </conditionalFormatting>
  <conditionalFormatting sqref="D133:D167">
    <cfRule type="expression" dxfId="305" priority="553" stopIfTrue="1">
      <formula>ISBLANK(D133)</formula>
    </cfRule>
    <cfRule type="cellIs" dxfId="304" priority="554" stopIfTrue="1" operator="equal">
      <formula>"Pasa"</formula>
    </cfRule>
    <cfRule type="cellIs" dxfId="303" priority="555" stopIfTrue="1" operator="equal">
      <formula>"Falla"</formula>
    </cfRule>
    <cfRule type="cellIs" dxfId="302" priority="556" stopIfTrue="1" operator="equal">
      <formula>"N/A"</formula>
    </cfRule>
    <cfRule type="cellIs" dxfId="301" priority="557" stopIfTrue="1" operator="equal">
      <formula>"N/T"</formula>
    </cfRule>
    <cfRule type="cellIs" dxfId="300" priority="558" stopIfTrue="1" operator="equal">
      <formula>"N/D"</formula>
    </cfRule>
  </conditionalFormatting>
  <conditionalFormatting sqref="D133:D167">
    <cfRule type="expression" dxfId="299" priority="547" stopIfTrue="1">
      <formula>ISBLANK(D133)</formula>
    </cfRule>
    <cfRule type="cellIs" dxfId="298" priority="548" stopIfTrue="1" operator="equal">
      <formula>"Pasa"</formula>
    </cfRule>
    <cfRule type="cellIs" dxfId="297" priority="549" stopIfTrue="1" operator="equal">
      <formula>"Falla"</formula>
    </cfRule>
    <cfRule type="cellIs" dxfId="296" priority="550" stopIfTrue="1" operator="equal">
      <formula>"N/A"</formula>
    </cfRule>
    <cfRule type="cellIs" dxfId="295" priority="551" stopIfTrue="1" operator="equal">
      <formula>"N/T"</formula>
    </cfRule>
    <cfRule type="cellIs" dxfId="294" priority="552" stopIfTrue="1" operator="equal">
      <formula>"N/D"</formula>
    </cfRule>
  </conditionalFormatting>
  <conditionalFormatting sqref="D171:D205">
    <cfRule type="expression" dxfId="293" priority="541" stopIfTrue="1">
      <formula>ISBLANK(D171)</formula>
    </cfRule>
    <cfRule type="cellIs" dxfId="292" priority="542" stopIfTrue="1" operator="equal">
      <formula>"Pasa"</formula>
    </cfRule>
    <cfRule type="cellIs" dxfId="291" priority="543" stopIfTrue="1" operator="equal">
      <formula>"Falla"</formula>
    </cfRule>
    <cfRule type="cellIs" dxfId="290" priority="544" stopIfTrue="1" operator="equal">
      <formula>"N/A"</formula>
    </cfRule>
    <cfRule type="cellIs" dxfId="289" priority="545" stopIfTrue="1" operator="equal">
      <formula>"N/T"</formula>
    </cfRule>
    <cfRule type="cellIs" dxfId="288" priority="546" stopIfTrue="1" operator="equal">
      <formula>"N/D"</formula>
    </cfRule>
  </conditionalFormatting>
  <conditionalFormatting sqref="D171:D205">
    <cfRule type="expression" dxfId="287" priority="535" stopIfTrue="1">
      <formula>ISBLANK(D171)</formula>
    </cfRule>
    <cfRule type="cellIs" dxfId="286" priority="536" stopIfTrue="1" operator="equal">
      <formula>"Pasa"</formula>
    </cfRule>
    <cfRule type="cellIs" dxfId="285" priority="537" stopIfTrue="1" operator="equal">
      <formula>"Falla"</formula>
    </cfRule>
    <cfRule type="cellIs" dxfId="284" priority="538" stopIfTrue="1" operator="equal">
      <formula>"N/A"</formula>
    </cfRule>
    <cfRule type="cellIs" dxfId="283" priority="539" stopIfTrue="1" operator="equal">
      <formula>"N/T"</formula>
    </cfRule>
    <cfRule type="cellIs" dxfId="282" priority="540" stopIfTrue="1" operator="equal">
      <formula>"N/D"</formula>
    </cfRule>
  </conditionalFormatting>
  <conditionalFormatting sqref="D209:D243">
    <cfRule type="expression" dxfId="281" priority="529" stopIfTrue="1">
      <formula>ISBLANK(D209)</formula>
    </cfRule>
    <cfRule type="cellIs" dxfId="280" priority="530" stopIfTrue="1" operator="equal">
      <formula>"Pasa"</formula>
    </cfRule>
    <cfRule type="cellIs" dxfId="279" priority="531" stopIfTrue="1" operator="equal">
      <formula>"Falla"</formula>
    </cfRule>
    <cfRule type="cellIs" dxfId="278" priority="532" stopIfTrue="1" operator="equal">
      <formula>"N/A"</formula>
    </cfRule>
    <cfRule type="cellIs" dxfId="277" priority="533" stopIfTrue="1" operator="equal">
      <formula>"N/T"</formula>
    </cfRule>
    <cfRule type="cellIs" dxfId="276" priority="534" stopIfTrue="1" operator="equal">
      <formula>"N/D"</formula>
    </cfRule>
  </conditionalFormatting>
  <conditionalFormatting sqref="D209:D243">
    <cfRule type="expression" dxfId="275" priority="523" stopIfTrue="1">
      <formula>ISBLANK(D209)</formula>
    </cfRule>
    <cfRule type="cellIs" dxfId="274" priority="524" stopIfTrue="1" operator="equal">
      <formula>"Pasa"</formula>
    </cfRule>
    <cfRule type="cellIs" dxfId="273" priority="525" stopIfTrue="1" operator="equal">
      <formula>"Falla"</formula>
    </cfRule>
    <cfRule type="cellIs" dxfId="272" priority="526" stopIfTrue="1" operator="equal">
      <formula>"N/A"</formula>
    </cfRule>
    <cfRule type="cellIs" dxfId="271" priority="527" stopIfTrue="1" operator="equal">
      <formula>"N/T"</formula>
    </cfRule>
    <cfRule type="cellIs" dxfId="270" priority="528" stopIfTrue="1" operator="equal">
      <formula>"N/D"</formula>
    </cfRule>
  </conditionalFormatting>
  <conditionalFormatting sqref="K23">
    <cfRule type="expression" dxfId="269" priority="127" stopIfTrue="1">
      <formula>ISBLANK(K23)</formula>
    </cfRule>
    <cfRule type="cellIs" dxfId="268" priority="128" stopIfTrue="1" operator="equal">
      <formula>"Pasa"</formula>
    </cfRule>
    <cfRule type="cellIs" dxfId="267" priority="129" stopIfTrue="1" operator="equal">
      <formula>"Falla"</formula>
    </cfRule>
    <cfRule type="cellIs" dxfId="266" priority="130" stopIfTrue="1" operator="equal">
      <formula>"N/A"</formula>
    </cfRule>
    <cfRule type="cellIs" dxfId="265" priority="131" stopIfTrue="1" operator="equal">
      <formula>"N/T"</formula>
    </cfRule>
    <cfRule type="cellIs" dxfId="264" priority="132" stopIfTrue="1" operator="equal">
      <formula>"N/D"</formula>
    </cfRule>
  </conditionalFormatting>
  <conditionalFormatting sqref="K24">
    <cfRule type="expression" dxfId="263" priority="121" stopIfTrue="1">
      <formula>ISBLANK(K24)</formula>
    </cfRule>
    <cfRule type="cellIs" dxfId="262" priority="122" stopIfTrue="1" operator="equal">
      <formula>"Pasa"</formula>
    </cfRule>
    <cfRule type="cellIs" dxfId="261" priority="123" stopIfTrue="1" operator="equal">
      <formula>"Falla"</formula>
    </cfRule>
    <cfRule type="cellIs" dxfId="260" priority="124" stopIfTrue="1" operator="equal">
      <formula>"N/A"</formula>
    </cfRule>
    <cfRule type="cellIs" dxfId="259" priority="125" stopIfTrue="1" operator="equal">
      <formula>"N/T"</formula>
    </cfRule>
    <cfRule type="cellIs" dxfId="258" priority="126" stopIfTrue="1" operator="equal">
      <formula>"N/D"</formula>
    </cfRule>
  </conditionalFormatting>
  <conditionalFormatting sqref="D57">
    <cfRule type="expression" dxfId="257" priority="115" stopIfTrue="1">
      <formula>ISBLANK(D57)</formula>
    </cfRule>
    <cfRule type="cellIs" dxfId="256" priority="116" stopIfTrue="1" operator="equal">
      <formula>"Pasa"</formula>
    </cfRule>
    <cfRule type="cellIs" dxfId="255" priority="117" stopIfTrue="1" operator="equal">
      <formula>"Falla"</formula>
    </cfRule>
    <cfRule type="cellIs" dxfId="254" priority="118" stopIfTrue="1" operator="equal">
      <formula>"N/A"</formula>
    </cfRule>
    <cfRule type="cellIs" dxfId="253" priority="119" stopIfTrue="1" operator="equal">
      <formula>"N/T"</formula>
    </cfRule>
    <cfRule type="cellIs" dxfId="252" priority="120" stopIfTrue="1" operator="equal">
      <formula>"N/D"</formula>
    </cfRule>
  </conditionalFormatting>
  <conditionalFormatting sqref="D57">
    <cfRule type="expression" dxfId="251" priority="109" stopIfTrue="1">
      <formula>ISBLANK(D57)</formula>
    </cfRule>
    <cfRule type="cellIs" dxfId="250" priority="110" stopIfTrue="1" operator="equal">
      <formula>"Pasa"</formula>
    </cfRule>
    <cfRule type="cellIs" dxfId="249" priority="111" stopIfTrue="1" operator="equal">
      <formula>"Falla"</formula>
    </cfRule>
    <cfRule type="cellIs" dxfId="248" priority="112" stopIfTrue="1" operator="equal">
      <formula>"N/A"</formula>
    </cfRule>
    <cfRule type="cellIs" dxfId="247" priority="113" stopIfTrue="1" operator="equal">
      <formula>"N/T"</formula>
    </cfRule>
    <cfRule type="cellIs" dxfId="246" priority="114" stopIfTrue="1" operator="equal">
      <formula>"N/D"</formula>
    </cfRule>
  </conditionalFormatting>
  <conditionalFormatting sqref="D58">
    <cfRule type="expression" dxfId="245" priority="103" stopIfTrue="1">
      <formula>ISBLANK(D58)</formula>
    </cfRule>
    <cfRule type="cellIs" dxfId="244" priority="104" stopIfTrue="1" operator="equal">
      <formula>"Pasa"</formula>
    </cfRule>
    <cfRule type="cellIs" dxfId="243" priority="105" stopIfTrue="1" operator="equal">
      <formula>"Falla"</formula>
    </cfRule>
    <cfRule type="cellIs" dxfId="242" priority="106" stopIfTrue="1" operator="equal">
      <formula>"N/A"</formula>
    </cfRule>
    <cfRule type="cellIs" dxfId="241" priority="107" stopIfTrue="1" operator="equal">
      <formula>"N/T"</formula>
    </cfRule>
    <cfRule type="cellIs" dxfId="240" priority="108" stopIfTrue="1" operator="equal">
      <formula>"N/D"</formula>
    </cfRule>
  </conditionalFormatting>
  <conditionalFormatting sqref="D58">
    <cfRule type="expression" dxfId="239" priority="97" stopIfTrue="1">
      <formula>ISBLANK(D58)</formula>
    </cfRule>
    <cfRule type="cellIs" dxfId="238" priority="98" stopIfTrue="1" operator="equal">
      <formula>"Pasa"</formula>
    </cfRule>
    <cfRule type="cellIs" dxfId="237" priority="99" stopIfTrue="1" operator="equal">
      <formula>"Falla"</formula>
    </cfRule>
    <cfRule type="cellIs" dxfId="236" priority="100" stopIfTrue="1" operator="equal">
      <formula>"N/A"</formula>
    </cfRule>
    <cfRule type="cellIs" dxfId="235" priority="101" stopIfTrue="1" operator="equal">
      <formula>"N/T"</formula>
    </cfRule>
    <cfRule type="cellIs" dxfId="234" priority="102" stopIfTrue="1" operator="equal">
      <formula>"N/D"</formula>
    </cfRule>
  </conditionalFormatting>
  <conditionalFormatting sqref="D95">
    <cfRule type="expression" dxfId="233" priority="91" stopIfTrue="1">
      <formula>ISBLANK(D95)</formula>
    </cfRule>
    <cfRule type="cellIs" dxfId="232" priority="92" stopIfTrue="1" operator="equal">
      <formula>"Pasa"</formula>
    </cfRule>
    <cfRule type="cellIs" dxfId="231" priority="93" stopIfTrue="1" operator="equal">
      <formula>"Falla"</formula>
    </cfRule>
    <cfRule type="cellIs" dxfId="230" priority="94" stopIfTrue="1" operator="equal">
      <formula>"N/A"</formula>
    </cfRule>
    <cfRule type="cellIs" dxfId="229" priority="95" stopIfTrue="1" operator="equal">
      <formula>"N/T"</formula>
    </cfRule>
    <cfRule type="cellIs" dxfId="228" priority="96" stopIfTrue="1" operator="equal">
      <formula>"N/D"</formula>
    </cfRule>
  </conditionalFormatting>
  <conditionalFormatting sqref="D95">
    <cfRule type="expression" dxfId="227" priority="85" stopIfTrue="1">
      <formula>ISBLANK(D95)</formula>
    </cfRule>
    <cfRule type="cellIs" dxfId="226" priority="86" stopIfTrue="1" operator="equal">
      <formula>"Pasa"</formula>
    </cfRule>
    <cfRule type="cellIs" dxfId="225" priority="87" stopIfTrue="1" operator="equal">
      <formula>"Falla"</formula>
    </cfRule>
    <cfRule type="cellIs" dxfId="224" priority="88" stopIfTrue="1" operator="equal">
      <formula>"N/A"</formula>
    </cfRule>
    <cfRule type="cellIs" dxfId="223" priority="89" stopIfTrue="1" operator="equal">
      <formula>"N/T"</formula>
    </cfRule>
    <cfRule type="cellIs" dxfId="222" priority="90" stopIfTrue="1" operator="equal">
      <formula>"N/D"</formula>
    </cfRule>
  </conditionalFormatting>
  <conditionalFormatting sqref="D96">
    <cfRule type="expression" dxfId="221" priority="79" stopIfTrue="1">
      <formula>ISBLANK(D96)</formula>
    </cfRule>
    <cfRule type="cellIs" dxfId="220" priority="80" stopIfTrue="1" operator="equal">
      <formula>"Pasa"</formula>
    </cfRule>
    <cfRule type="cellIs" dxfId="219" priority="81" stopIfTrue="1" operator="equal">
      <formula>"Falla"</formula>
    </cfRule>
    <cfRule type="cellIs" dxfId="218" priority="82" stopIfTrue="1" operator="equal">
      <formula>"N/A"</formula>
    </cfRule>
    <cfRule type="cellIs" dxfId="217" priority="83" stopIfTrue="1" operator="equal">
      <formula>"N/T"</formula>
    </cfRule>
    <cfRule type="cellIs" dxfId="216" priority="84" stopIfTrue="1" operator="equal">
      <formula>"N/D"</formula>
    </cfRule>
  </conditionalFormatting>
  <conditionalFormatting sqref="D96">
    <cfRule type="expression" dxfId="215" priority="73" stopIfTrue="1">
      <formula>ISBLANK(D96)</formula>
    </cfRule>
    <cfRule type="cellIs" dxfId="214" priority="74" stopIfTrue="1" operator="equal">
      <formula>"Pasa"</formula>
    </cfRule>
    <cfRule type="cellIs" dxfId="213" priority="75" stopIfTrue="1" operator="equal">
      <formula>"Falla"</formula>
    </cfRule>
    <cfRule type="cellIs" dxfId="212" priority="76" stopIfTrue="1" operator="equal">
      <formula>"N/A"</formula>
    </cfRule>
    <cfRule type="cellIs" dxfId="211" priority="77" stopIfTrue="1" operator="equal">
      <formula>"N/T"</formula>
    </cfRule>
    <cfRule type="cellIs" dxfId="210" priority="78" stopIfTrue="1" operator="equal">
      <formula>"N/D"</formula>
    </cfRule>
  </conditionalFormatting>
  <conditionalFormatting sqref="D133">
    <cfRule type="expression" dxfId="209" priority="67" stopIfTrue="1">
      <formula>ISBLANK(D133)</formula>
    </cfRule>
    <cfRule type="cellIs" dxfId="208" priority="68" stopIfTrue="1" operator="equal">
      <formula>"Pasa"</formula>
    </cfRule>
    <cfRule type="cellIs" dxfId="207" priority="69" stopIfTrue="1" operator="equal">
      <formula>"Falla"</formula>
    </cfRule>
    <cfRule type="cellIs" dxfId="206" priority="70" stopIfTrue="1" operator="equal">
      <formula>"N/A"</formula>
    </cfRule>
    <cfRule type="cellIs" dxfId="205" priority="71" stopIfTrue="1" operator="equal">
      <formula>"N/T"</formula>
    </cfRule>
    <cfRule type="cellIs" dxfId="204" priority="72" stopIfTrue="1" operator="equal">
      <formula>"N/D"</formula>
    </cfRule>
  </conditionalFormatting>
  <conditionalFormatting sqref="D133">
    <cfRule type="expression" dxfId="203" priority="61" stopIfTrue="1">
      <formula>ISBLANK(D133)</formula>
    </cfRule>
    <cfRule type="cellIs" dxfId="202" priority="62" stopIfTrue="1" operator="equal">
      <formula>"Pasa"</formula>
    </cfRule>
    <cfRule type="cellIs" dxfId="201" priority="63" stopIfTrue="1" operator="equal">
      <formula>"Falla"</formula>
    </cfRule>
    <cfRule type="cellIs" dxfId="200" priority="64" stopIfTrue="1" operator="equal">
      <formula>"N/A"</formula>
    </cfRule>
    <cfRule type="cellIs" dxfId="199" priority="65" stopIfTrue="1" operator="equal">
      <formula>"N/T"</formula>
    </cfRule>
    <cfRule type="cellIs" dxfId="198" priority="66" stopIfTrue="1" operator="equal">
      <formula>"N/D"</formula>
    </cfRule>
  </conditionalFormatting>
  <conditionalFormatting sqref="D134">
    <cfRule type="expression" dxfId="197" priority="55" stopIfTrue="1">
      <formula>ISBLANK(D134)</formula>
    </cfRule>
    <cfRule type="cellIs" dxfId="196" priority="56" stopIfTrue="1" operator="equal">
      <formula>"Pasa"</formula>
    </cfRule>
    <cfRule type="cellIs" dxfId="195" priority="57" stopIfTrue="1" operator="equal">
      <formula>"Falla"</formula>
    </cfRule>
    <cfRule type="cellIs" dxfId="194" priority="58" stopIfTrue="1" operator="equal">
      <formula>"N/A"</formula>
    </cfRule>
    <cfRule type="cellIs" dxfId="193" priority="59" stopIfTrue="1" operator="equal">
      <formula>"N/T"</formula>
    </cfRule>
    <cfRule type="cellIs" dxfId="192" priority="60" stopIfTrue="1" operator="equal">
      <formula>"N/D"</formula>
    </cfRule>
  </conditionalFormatting>
  <conditionalFormatting sqref="D134">
    <cfRule type="expression" dxfId="191" priority="49" stopIfTrue="1">
      <formula>ISBLANK(D134)</formula>
    </cfRule>
    <cfRule type="cellIs" dxfId="190" priority="50" stopIfTrue="1" operator="equal">
      <formula>"Pasa"</formula>
    </cfRule>
    <cfRule type="cellIs" dxfId="189" priority="51" stopIfTrue="1" operator="equal">
      <formula>"Falla"</formula>
    </cfRule>
    <cfRule type="cellIs" dxfId="188" priority="52" stopIfTrue="1" operator="equal">
      <formula>"N/A"</formula>
    </cfRule>
    <cfRule type="cellIs" dxfId="187" priority="53" stopIfTrue="1" operator="equal">
      <formula>"N/T"</formula>
    </cfRule>
    <cfRule type="cellIs" dxfId="186" priority="54" stopIfTrue="1" operator="equal">
      <formula>"N/D"</formula>
    </cfRule>
  </conditionalFormatting>
  <conditionalFormatting sqref="D171">
    <cfRule type="expression" dxfId="185" priority="43" stopIfTrue="1">
      <formula>ISBLANK(D171)</formula>
    </cfRule>
    <cfRule type="cellIs" dxfId="184" priority="44" stopIfTrue="1" operator="equal">
      <formula>"Pasa"</formula>
    </cfRule>
    <cfRule type="cellIs" dxfId="183" priority="45" stopIfTrue="1" operator="equal">
      <formula>"Falla"</formula>
    </cfRule>
    <cfRule type="cellIs" dxfId="182" priority="46" stopIfTrue="1" operator="equal">
      <formula>"N/A"</formula>
    </cfRule>
    <cfRule type="cellIs" dxfId="181" priority="47" stopIfTrue="1" operator="equal">
      <formula>"N/T"</formula>
    </cfRule>
    <cfRule type="cellIs" dxfId="180" priority="48" stopIfTrue="1" operator="equal">
      <formula>"N/D"</formula>
    </cfRule>
  </conditionalFormatting>
  <conditionalFormatting sqref="D171">
    <cfRule type="expression" dxfId="179" priority="37" stopIfTrue="1">
      <formula>ISBLANK(D171)</formula>
    </cfRule>
    <cfRule type="cellIs" dxfId="178" priority="38" stopIfTrue="1" operator="equal">
      <formula>"Pasa"</formula>
    </cfRule>
    <cfRule type="cellIs" dxfId="177" priority="39" stopIfTrue="1" operator="equal">
      <formula>"Falla"</formula>
    </cfRule>
    <cfRule type="cellIs" dxfId="176" priority="40" stopIfTrue="1" operator="equal">
      <formula>"N/A"</formula>
    </cfRule>
    <cfRule type="cellIs" dxfId="175" priority="41" stopIfTrue="1" operator="equal">
      <formula>"N/T"</formula>
    </cfRule>
    <cfRule type="cellIs" dxfId="174" priority="42" stopIfTrue="1" operator="equal">
      <formula>"N/D"</formula>
    </cfRule>
  </conditionalFormatting>
  <conditionalFormatting sqref="D172">
    <cfRule type="expression" dxfId="173" priority="31" stopIfTrue="1">
      <formula>ISBLANK(D172)</formula>
    </cfRule>
    <cfRule type="cellIs" dxfId="172" priority="32" stopIfTrue="1" operator="equal">
      <formula>"Pasa"</formula>
    </cfRule>
    <cfRule type="cellIs" dxfId="171" priority="33" stopIfTrue="1" operator="equal">
      <formula>"Falla"</formula>
    </cfRule>
    <cfRule type="cellIs" dxfId="170" priority="34" stopIfTrue="1" operator="equal">
      <formula>"N/A"</formula>
    </cfRule>
    <cfRule type="cellIs" dxfId="169" priority="35" stopIfTrue="1" operator="equal">
      <formula>"N/T"</formula>
    </cfRule>
    <cfRule type="cellIs" dxfId="168" priority="36" stopIfTrue="1" operator="equal">
      <formula>"N/D"</formula>
    </cfRule>
  </conditionalFormatting>
  <conditionalFormatting sqref="D172">
    <cfRule type="expression" dxfId="167" priority="25" stopIfTrue="1">
      <formula>ISBLANK(D172)</formula>
    </cfRule>
    <cfRule type="cellIs" dxfId="166" priority="26" stopIfTrue="1" operator="equal">
      <formula>"Pasa"</formula>
    </cfRule>
    <cfRule type="cellIs" dxfId="165" priority="27" stopIfTrue="1" operator="equal">
      <formula>"Falla"</formula>
    </cfRule>
    <cfRule type="cellIs" dxfId="164" priority="28" stopIfTrue="1" operator="equal">
      <formula>"N/A"</formula>
    </cfRule>
    <cfRule type="cellIs" dxfId="163" priority="29" stopIfTrue="1" operator="equal">
      <formula>"N/T"</formula>
    </cfRule>
    <cfRule type="cellIs" dxfId="162" priority="30" stopIfTrue="1" operator="equal">
      <formula>"N/D"</formula>
    </cfRule>
  </conditionalFormatting>
  <conditionalFormatting sqref="D209">
    <cfRule type="expression" dxfId="161" priority="19" stopIfTrue="1">
      <formula>ISBLANK(D209)</formula>
    </cfRule>
    <cfRule type="cellIs" dxfId="160" priority="20" stopIfTrue="1" operator="equal">
      <formula>"Pasa"</formula>
    </cfRule>
    <cfRule type="cellIs" dxfId="159" priority="21" stopIfTrue="1" operator="equal">
      <formula>"Falla"</formula>
    </cfRule>
    <cfRule type="cellIs" dxfId="158" priority="22" stopIfTrue="1" operator="equal">
      <formula>"N/A"</formula>
    </cfRule>
    <cfRule type="cellIs" dxfId="157" priority="23" stopIfTrue="1" operator="equal">
      <formula>"N/T"</formula>
    </cfRule>
    <cfRule type="cellIs" dxfId="156" priority="24" stopIfTrue="1" operator="equal">
      <formula>"N/D"</formula>
    </cfRule>
  </conditionalFormatting>
  <conditionalFormatting sqref="D209">
    <cfRule type="expression" dxfId="155" priority="13" stopIfTrue="1">
      <formula>ISBLANK(D209)</formula>
    </cfRule>
    <cfRule type="cellIs" dxfId="154" priority="14" stopIfTrue="1" operator="equal">
      <formula>"Pasa"</formula>
    </cfRule>
    <cfRule type="cellIs" dxfId="153" priority="15" stopIfTrue="1" operator="equal">
      <formula>"Falla"</formula>
    </cfRule>
    <cfRule type="cellIs" dxfId="152" priority="16" stopIfTrue="1" operator="equal">
      <formula>"N/A"</formula>
    </cfRule>
    <cfRule type="cellIs" dxfId="151" priority="17" stopIfTrue="1" operator="equal">
      <formula>"N/T"</formula>
    </cfRule>
    <cfRule type="cellIs" dxfId="150" priority="18" stopIfTrue="1" operator="equal">
      <formula>"N/D"</formula>
    </cfRule>
  </conditionalFormatting>
  <conditionalFormatting sqref="D210">
    <cfRule type="expression" dxfId="149" priority="7" stopIfTrue="1">
      <formula>ISBLANK(D210)</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D210">
    <cfRule type="expression" dxfId="143" priority="1" stopIfTrue="1">
      <formula>ISBLANK(D210)</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77" zoomScale="80" zoomScaleNormal="80" workbookViewId="0">
      <selection activeCell="F177" sqref="F177"/>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0"/>
      <c r="C6" s="130"/>
      <c r="D6" s="130"/>
      <c r="E6" s="131"/>
      <c r="F6" s="130"/>
      <c r="G6" s="130"/>
      <c r="H6" s="130"/>
      <c r="I6" s="130"/>
      <c r="J6" s="130"/>
      <c r="K6" s="130"/>
      <c r="L6" s="130"/>
      <c r="M6" s="130"/>
      <c r="N6" s="18"/>
      <c r="O6" s="18"/>
    </row>
    <row r="7" spans="1:64" ht="12.65" customHeight="1">
      <c r="B7" s="18"/>
      <c r="C7" s="18"/>
      <c r="D7" s="18"/>
      <c r="E7" s="79"/>
      <c r="F7" s="18"/>
      <c r="G7" s="18"/>
      <c r="H7" s="18"/>
      <c r="I7" s="18"/>
      <c r="J7" s="18"/>
      <c r="K7" s="18"/>
      <c r="L7" s="18"/>
      <c r="M7" s="18"/>
      <c r="N7" s="18"/>
      <c r="O7" s="18"/>
    </row>
    <row r="8" spans="1:64" ht="18.899999999999999" customHeight="1">
      <c r="B8" s="82" t="s">
        <v>245</v>
      </c>
      <c r="C8" s="18"/>
      <c r="D8" s="79"/>
      <c r="E8" s="79"/>
      <c r="F8" s="18"/>
      <c r="G8" s="18"/>
      <c r="H8" s="18"/>
      <c r="I8" s="18"/>
      <c r="J8" s="18"/>
      <c r="K8" s="18"/>
      <c r="L8" s="18"/>
      <c r="M8" s="18"/>
      <c r="N8" s="18"/>
      <c r="O8" s="18"/>
    </row>
    <row r="9" spans="1:64" ht="30" customHeight="1">
      <c r="B9" s="235" t="s">
        <v>84</v>
      </c>
      <c r="C9" s="235"/>
      <c r="D9" s="235"/>
      <c r="E9" s="235"/>
      <c r="F9" s="235"/>
      <c r="G9" s="235"/>
      <c r="H9" s="235"/>
      <c r="I9" s="235"/>
      <c r="J9" s="235"/>
      <c r="K9" s="235"/>
      <c r="L9" s="235"/>
      <c r="M9" s="235"/>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33" t="s">
        <v>85</v>
      </c>
      <c r="C11" s="234"/>
      <c r="D11" s="26"/>
      <c r="E11" s="14"/>
      <c r="F11" s="195" t="s">
        <v>86</v>
      </c>
      <c r="G11" s="104" t="s">
        <v>87</v>
      </c>
      <c r="H11" s="196" t="s">
        <v>88</v>
      </c>
      <c r="I11" s="22"/>
      <c r="J11" s="195" t="s">
        <v>89</v>
      </c>
      <c r="K11" s="104" t="s">
        <v>87</v>
      </c>
      <c r="L11" s="196" t="s">
        <v>88</v>
      </c>
      <c r="M11" s="18"/>
      <c r="N11" s="18"/>
      <c r="O11" s="18"/>
      <c r="P11" s="18"/>
      <c r="Q11" s="18"/>
      <c r="R11" s="18"/>
      <c r="U11" s="18"/>
      <c r="V11" s="18"/>
      <c r="W11" s="18"/>
      <c r="X11" s="18"/>
      <c r="Y11" s="18"/>
    </row>
    <row r="12" spans="1:64" ht="12" customHeight="1">
      <c r="B12" s="107" t="s">
        <v>90</v>
      </c>
      <c r="C12" s="197">
        <f>COUNTIF($B$18:$B$4000,B12)</f>
        <v>5</v>
      </c>
      <c r="D12" s="26"/>
      <c r="E12" s="14"/>
      <c r="F12" s="198" t="s">
        <v>91</v>
      </c>
      <c r="G12" s="72">
        <f ca="1">J20+J58+J96+J134+J172</f>
        <v>28</v>
      </c>
      <c r="H12" s="42">
        <f ca="1">IF(($G$15+$K$15)=0,0,G12/($G$15+$K$15))</f>
        <v>0.4</v>
      </c>
      <c r="I12" s="26"/>
      <c r="J12" s="182" t="s">
        <v>92</v>
      </c>
      <c r="K12" s="72">
        <f ca="1">G20+G58+G96+G134+G172</f>
        <v>0</v>
      </c>
      <c r="L12" s="42">
        <f ca="1">IF(($G$15+$K$15)=0,0,K12/($G$15+$K$15))</f>
        <v>0</v>
      </c>
      <c r="M12" s="18"/>
      <c r="N12" s="18"/>
      <c r="O12" s="18"/>
      <c r="P12" s="18"/>
      <c r="Q12" s="18"/>
      <c r="R12" s="18"/>
      <c r="U12" s="18"/>
      <c r="V12" s="18"/>
      <c r="W12" s="18"/>
      <c r="X12" s="18"/>
      <c r="Y12" s="18"/>
    </row>
    <row r="13" spans="1:64" ht="12" customHeight="1">
      <c r="B13" s="107"/>
      <c r="C13" s="197"/>
      <c r="D13" s="26"/>
      <c r="E13" s="14"/>
      <c r="F13" s="198" t="s">
        <v>93</v>
      </c>
      <c r="G13" s="72">
        <f ca="1">I20+I58+I96+I134+I172</f>
        <v>42</v>
      </c>
      <c r="H13" s="42">
        <f ca="1">IF(($G$15+$K$15)=0,0,G13/($G$15+$K$15))</f>
        <v>0.6</v>
      </c>
      <c r="I13" s="26"/>
      <c r="J13" s="182" t="s">
        <v>94</v>
      </c>
      <c r="K13" s="72">
        <f ca="1">F20+F58+F96+F134+F172</f>
        <v>0</v>
      </c>
      <c r="L13" s="42">
        <f ca="1">IF(($G$15+$K$15)=0,0,K13/($G$15+$K$15))</f>
        <v>0</v>
      </c>
      <c r="M13" s="18"/>
      <c r="N13" s="18"/>
      <c r="O13" s="18"/>
      <c r="P13" s="18"/>
      <c r="Q13" s="18"/>
      <c r="R13" s="18"/>
      <c r="U13" s="18"/>
      <c r="V13" s="18"/>
      <c r="W13" s="18"/>
      <c r="X13" s="18"/>
      <c r="Y13" s="18"/>
    </row>
    <row r="14" spans="1:64" ht="12" customHeight="1" thickBot="1">
      <c r="B14" s="199" t="s">
        <v>95</v>
      </c>
      <c r="C14" s="200">
        <f>C12+C13</f>
        <v>5</v>
      </c>
      <c r="D14" s="26"/>
      <c r="E14" s="14"/>
      <c r="F14" s="198" t="s">
        <v>96</v>
      </c>
      <c r="G14" s="72">
        <f ca="1">H20+H58+H96+H134+H172</f>
        <v>0</v>
      </c>
      <c r="H14" s="42">
        <f ca="1">IF(($G$15+$K$15)=0,0,G14/($G$15+$K$15))</f>
        <v>0</v>
      </c>
      <c r="I14" s="26"/>
      <c r="J14" s="182" t="s">
        <v>97</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199" t="s">
        <v>95</v>
      </c>
      <c r="G15" s="202">
        <f ca="1">SUM(G12:G14)</f>
        <v>70</v>
      </c>
      <c r="H15" s="203">
        <f ca="1">SUM(H12:H14)</f>
        <v>1</v>
      </c>
      <c r="I15" s="26"/>
      <c r="J15" s="199" t="s">
        <v>95</v>
      </c>
      <c r="K15" s="202">
        <f ca="1">SUM(K12:K13)</f>
        <v>0</v>
      </c>
      <c r="L15" s="203">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2" t="s">
        <v>98</v>
      </c>
      <c r="B18" s="23" t="s">
        <v>90</v>
      </c>
      <c r="C18" s="24" t="s">
        <v>246</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91</v>
      </c>
      <c r="E19" s="79" t="str">
        <f t="shared" ref="E19:E53" si="0">IF(D19&lt;&gt;"",IF(AND(B19&lt;&gt;"",C19&lt;&gt;""),"","ERR"),"")</f>
        <v/>
      </c>
      <c r="F19" s="86" t="s">
        <v>101</v>
      </c>
      <c r="G19" s="87" t="s">
        <v>102</v>
      </c>
      <c r="H19" s="88" t="s">
        <v>103</v>
      </c>
      <c r="I19" s="89" t="s">
        <v>93</v>
      </c>
      <c r="J19" s="90" t="s">
        <v>91</v>
      </c>
      <c r="K19" s="178"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Aviso legal</v>
      </c>
      <c r="C20" s="85" t="str" cm="1">
        <f t="array" ref="C20">IFERROR(INDEX('03.Muestra'!$F$8:$F$42,SMALL(IF("Página Web"='03.Muestra'!$D$8:$D$42,ROW('03.Muestra'!$F$8:$F$42)-MIN(ROW('03.Muestra'!$D$8:$D$42))+1,""),ROW()-18)),"")</f>
        <v>https://www.comunidad.madrid/transparencia/aviso-legal</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14</v>
      </c>
      <c r="K20" s="179">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Accesibilidad</v>
      </c>
      <c r="C21" s="85" t="str" cm="1">
        <f t="array" ref="C21">IFERROR(INDEX('03.Muestra'!$F$8:$F$42,SMALL(IF("Página Web"='03.Muestra'!$D$8:$D$42,ROW('03.Muestra'!$F$8:$F$42)-MIN(ROW('03.Muestra'!$D$8:$D$42))+1,""),ROW()-18)),"")</f>
        <v>https://www.comunidad.madrid/transparencia/declaracion-accesibilidad</v>
      </c>
      <c r="D21" s="99" t="s">
        <v>91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Tranparencia</v>
      </c>
      <c r="C22" s="85" t="str" cm="1">
        <f t="array" ref="C22">IFERROR(INDEX('03.Muestra'!$F$8:$F$42,SMALL(IF("Página Web"='03.Muestra'!$D$8:$D$42,ROW('03.Muestra'!$F$8:$F$42)-MIN(ROW('03.Muestra'!$D$8:$D$42))+1,""),ROW()-18)),"")</f>
        <v>https://www.comunidad.madrid/transparencia/que-es-transparencia</v>
      </c>
      <c r="D22" s="99" t="s">
        <v>91</v>
      </c>
      <c r="E22" s="79" t="str">
        <f t="shared" si="0"/>
        <v/>
      </c>
      <c r="F22" s="18"/>
      <c r="G22" s="18"/>
      <c r="H22" s="18"/>
      <c r="I22" s="18"/>
      <c r="K22" s="169"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Organización</v>
      </c>
      <c r="C23" s="85" t="str" cm="1">
        <f t="array" ref="C23">IFERROR(INDEX('03.Muestra'!$F$8:$F$42,SMALL(IF("Página Web"='03.Muestra'!$D$8:$D$42,ROW('03.Muestra'!$F$8:$F$42)-MIN(ROW('03.Muestra'!$D$8:$D$42))+1,""),ROW()-18)),"")</f>
        <v>https://www.comunidad.madrid/transparencia/organizacion-recursos/organizacion</v>
      </c>
      <c r="D23" s="99" t="s">
        <v>91</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Quejas</v>
      </c>
      <c r="C24" s="85" t="str" cm="1">
        <f t="array" ref="C24">IFERROR(INDEX('03.Muestra'!$F$8:$F$42,SMALL(IF("Página Web"='03.Muestra'!$D$8:$D$42,ROW('03.Muestra'!$F$8:$F$42)-MIN(ROW('03.Muestra'!$D$8:$D$42))+1,""),ROW()-18)),"")</f>
        <v>https://www.comunidad.madrid/transparencia/quejas-y-reclamaciones</v>
      </c>
      <c r="D24" s="99" t="s">
        <v>91</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Contratos</v>
      </c>
      <c r="C25" s="85" t="str" cm="1">
        <f t="array" ref="C25">IFERROR(INDEX('03.Muestra'!$F$8:$F$42,SMALL(IF("Página Web"='03.Muestra'!$D$8:$D$42,ROW('03.Muestra'!$F$8:$F$42)-MIN(ROW('03.Muestra'!$D$8:$D$42))+1,""),ROW()-18)),"")</f>
        <v>https://www.comunidad.madrid/transparencia/contratos</v>
      </c>
      <c r="D25" s="99" t="s">
        <v>91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v>
      </c>
      <c r="C26" s="85" t="str" cm="1">
        <f t="array" ref="C26">IFERROR(INDEX('03.Muestra'!$F$8:$F$42,SMALL(IF("Página Web"='03.Muestra'!$D$8:$D$42,ROW('03.Muestra'!$F$8:$F$42)-MIN(ROW('03.Muestra'!$D$8:$D$42))+1,""),ROW()-18)),"")</f>
        <v>https://www.comunidad.madrid/transparencia/normativa-planificacion/consulta-publica</v>
      </c>
      <c r="D26" s="99" t="s">
        <v>91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Proyecto</v>
      </c>
      <c r="C27" s="85" t="str" cm="1">
        <f t="array" ref="C27">IFERROR(INDEX('03.Muestra'!$F$8:$F$42,SMALL(IF("Página Web"='03.Muestra'!$D$8:$D$42,ROW('03.Muestra'!$F$8:$F$42)-MIN(ROW('03.Muestra'!$D$8:$D$42))+1,""),ROW()-18)),"")</f>
        <v>https://www.comunidad.madrid/transparencia/proyecto-orden-que-se-crea-comision-farmacia-y-productos-sanitarios-cm-y-se-establece-su-composicion</v>
      </c>
      <c r="D27" s="99" t="s">
        <v>91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Planes y Programas</v>
      </c>
      <c r="C28" s="85" t="str" cm="1">
        <f t="array" ref="C28">IFERROR(INDEX('03.Muestra'!$F$8:$F$42,SMALL(IF("Página Web"='03.Muestra'!$D$8:$D$42,ROW('03.Muestra'!$F$8:$F$42)-MIN(ROW('03.Muestra'!$D$8:$D$42))+1,""),ROW()-18)),"")</f>
        <v>https://www.comunidad.madrid/transparencia/normativa-planificacion/planes-programas</v>
      </c>
      <c r="D28" s="99" t="s">
        <v>91</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Estrategia</v>
      </c>
      <c r="C29" s="85" t="str" cm="1">
        <f t="array" ref="C29">IFERROR(INDEX('03.Muestra'!$F$8:$F$42,SMALL(IF("Página Web"='03.Muestra'!$D$8:$D$42,ROW('03.Muestra'!$F$8:$F$42)-MIN(ROW('03.Muestra'!$D$8:$D$42))+1,""),ROW()-18)),"")</f>
        <v>https://www.comunidad.madrid/transparencia/informacion-institucional/planes-programas/estrategia-seguridad-del-paciente-del-servicio-madrileno</v>
      </c>
      <c r="D29" s="99" t="s">
        <v>91</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Huella</v>
      </c>
      <c r="C30" s="85" t="str" cm="1">
        <f t="array" ref="C30">IFERROR(INDEX('03.Muestra'!$F$8:$F$42,SMALL(IF("Página Web"='03.Muestra'!$D$8:$D$42,ROW('03.Muestra'!$F$8:$F$42)-MIN(ROW('03.Muestra'!$D$8:$D$42))+1,""),ROW()-18)),"")</f>
        <v>https://www.comunidad.madrid/transparencia/normativa-planificacion/huella-normativa</v>
      </c>
      <c r="D30" s="99" t="s">
        <v>91</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Decreto</v>
      </c>
      <c r="C31" s="85" t="str" cm="1">
        <f t="array" ref="C31">IFERROR(INDEX('03.Muestra'!$F$8:$F$42,SMALL(IF("Página Web"='03.Muestra'!$D$8:$D$42,ROW('03.Muestra'!$F$8:$F$42)-MIN(ROW('03.Muestra'!$D$8:$D$42))+1,""),ROW()-18)),"")</f>
        <v>https://www.comunidad.madrid/transparencia/decreto-del-consejo-gobierno-que-se-establece-estructura-organica-consejeria-familia-juventud-y</v>
      </c>
      <c r="D31" s="99" t="s">
        <v>91</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Entidades Locales</v>
      </c>
      <c r="C32" s="85" t="str" cm="1">
        <f t="array" ref="C32">IFERROR(INDEX('03.Muestra'!$F$8:$F$42,SMALL(IF("Página Web"='03.Muestra'!$D$8:$D$42,ROW('03.Muestra'!$F$8:$F$42)-MIN(ROW('03.Muestra'!$D$8:$D$42))+1,""),ROW()-18)),"")</f>
        <v>https://www.comunidad.madrid/transparencia/entidades-locales</v>
      </c>
      <c r="D32" s="99" t="s">
        <v>91</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2" t="s">
        <v>98</v>
      </c>
      <c r="B56" s="23" t="s">
        <v>90</v>
      </c>
      <c r="C56" s="24" t="s">
        <v>247</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93</v>
      </c>
      <c r="E57" s="79" t="str">
        <f t="shared" ref="E57:E91" si="2">IF(D57&lt;&gt;"",IF(AND(B57&lt;&gt;"",C57&lt;&gt;""),"","ERR"),"")</f>
        <v/>
      </c>
      <c r="F57" s="86" t="s">
        <v>101</v>
      </c>
      <c r="G57" s="87" t="s">
        <v>102</v>
      </c>
      <c r="H57" s="88" t="s">
        <v>103</v>
      </c>
      <c r="I57" s="89" t="s">
        <v>93</v>
      </c>
      <c r="J57" s="90" t="s">
        <v>91</v>
      </c>
      <c r="K57" s="178"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Aviso legal</v>
      </c>
      <c r="C58" s="85" t="str" cm="1">
        <f t="array" ref="C58">IFERROR(INDEX('03.Muestra'!$F$8:$F$42,SMALL(IF("Página Web"='03.Muestra'!$D$8:$D$42,ROW('03.Muestra'!$F$8:$F$42)-MIN(ROW('03.Muestra'!$D$8:$D$42))+1,""),ROW()-56)),"")</f>
        <v>https://www.comunidad.madrid/transparencia/aviso-legal</v>
      </c>
      <c r="D58" s="99" t="s">
        <v>93</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14</v>
      </c>
      <c r="J58" s="91">
        <f ca="1">COUNTIF($D57:INDIRECT("$D" &amp;  SUM(ROW()-1,'03.Muestra'!$D$45)-1),J57)</f>
        <v>0</v>
      </c>
      <c r="K58" s="179">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Accesibilidad</v>
      </c>
      <c r="C59" s="85" t="str" cm="1">
        <f t="array" ref="C59">IFERROR(INDEX('03.Muestra'!$F$8:$F$42,SMALL(IF("Página Web"='03.Muestra'!$D$8:$D$42,ROW('03.Muestra'!$F$8:$F$42)-MIN(ROW('03.Muestra'!$D$8:$D$42))+1,""),ROW()-56)),"")</f>
        <v>https://www.comunidad.madrid/transparencia/declaracion-accesibilidad</v>
      </c>
      <c r="D59" s="99" t="s">
        <v>93</v>
      </c>
      <c r="E59" s="79" t="str">
        <f t="shared" si="2"/>
        <v/>
      </c>
      <c r="G59" s="18"/>
      <c r="H59" s="18"/>
      <c r="I59" s="18"/>
      <c r="J59" s="18"/>
      <c r="K59" s="183"/>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Tranparencia</v>
      </c>
      <c r="C60" s="85" t="str" cm="1">
        <f t="array" ref="C60">IFERROR(INDEX('03.Muestra'!$F$8:$F$42,SMALL(IF("Página Web"='03.Muestra'!$D$8:$D$42,ROW('03.Muestra'!$F$8:$F$42)-MIN(ROW('03.Muestra'!$D$8:$D$42))+1,""),ROW()-56)),"")</f>
        <v>https://www.comunidad.madrid/transparencia/que-es-transparencia</v>
      </c>
      <c r="D60" s="99" t="s">
        <v>93</v>
      </c>
      <c r="E60" s="79" t="str">
        <f t="shared" si="2"/>
        <v/>
      </c>
      <c r="G60" s="18"/>
      <c r="H60" s="18"/>
      <c r="I60" s="18"/>
      <c r="J60" s="18"/>
      <c r="K60" s="183"/>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Organización</v>
      </c>
      <c r="C61" s="85" t="str" cm="1">
        <f t="array" ref="C61">IFERROR(INDEX('03.Muestra'!$F$8:$F$42,SMALL(IF("Página Web"='03.Muestra'!$D$8:$D$42,ROW('03.Muestra'!$F$8:$F$42)-MIN(ROW('03.Muestra'!$D$8:$D$42))+1,""),ROW()-56)),"")</f>
        <v>https://www.comunidad.madrid/transparencia/organizacion-recursos/organizacion</v>
      </c>
      <c r="D61" s="99" t="s">
        <v>93</v>
      </c>
      <c r="E61" s="79" t="str">
        <f t="shared" si="2"/>
        <v/>
      </c>
      <c r="G61" s="18"/>
      <c r="H61" s="18"/>
      <c r="I61" s="18"/>
      <c r="J61" s="18"/>
      <c r="K61" s="183"/>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Quejas</v>
      </c>
      <c r="C62" s="85" t="str" cm="1">
        <f t="array" ref="C62">IFERROR(INDEX('03.Muestra'!$F$8:$F$42,SMALL(IF("Página Web"='03.Muestra'!$D$8:$D$42,ROW('03.Muestra'!$F$8:$F$42)-MIN(ROW('03.Muestra'!$D$8:$D$42))+1,""),ROW()-56)),"")</f>
        <v>https://www.comunidad.madrid/transparencia/quejas-y-reclamaciones</v>
      </c>
      <c r="D62" s="99" t="s">
        <v>93</v>
      </c>
      <c r="E62" s="79" t="str">
        <f t="shared" si="2"/>
        <v/>
      </c>
      <c r="G62" s="18"/>
      <c r="H62" s="18"/>
      <c r="I62" s="18"/>
      <c r="J62" s="18"/>
      <c r="K62" s="183"/>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Contratos</v>
      </c>
      <c r="C63" s="85" t="str" cm="1">
        <f t="array" ref="C63">IFERROR(INDEX('03.Muestra'!$F$8:$F$42,SMALL(IF("Página Web"='03.Muestra'!$D$8:$D$42,ROW('03.Muestra'!$F$8:$F$42)-MIN(ROW('03.Muestra'!$D$8:$D$42))+1,""),ROW()-56)),"")</f>
        <v>https://www.comunidad.madrid/transparencia/contratos</v>
      </c>
      <c r="D63" s="99" t="s">
        <v>93</v>
      </c>
      <c r="E63" s="79" t="str">
        <f t="shared" si="2"/>
        <v/>
      </c>
      <c r="F63" s="18"/>
      <c r="G63" s="18"/>
      <c r="H63" s="18"/>
      <c r="I63" s="18"/>
      <c r="J63" s="18"/>
      <c r="K63" s="183"/>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v>
      </c>
      <c r="C64" s="85" t="str" cm="1">
        <f t="array" ref="C64">IFERROR(INDEX('03.Muestra'!$F$8:$F$42,SMALL(IF("Página Web"='03.Muestra'!$D$8:$D$42,ROW('03.Muestra'!$F$8:$F$42)-MIN(ROW('03.Muestra'!$D$8:$D$42))+1,""),ROW()-56)),"")</f>
        <v>https://www.comunidad.madrid/transparencia/normativa-planificacion/consulta-publica</v>
      </c>
      <c r="D64" s="99" t="s">
        <v>93</v>
      </c>
      <c r="E64" s="79" t="str">
        <f t="shared" si="2"/>
        <v/>
      </c>
      <c r="F64" s="18"/>
      <c r="G64" s="18"/>
      <c r="H64" s="18"/>
      <c r="I64" s="18"/>
      <c r="J64" s="18"/>
      <c r="K64" s="183"/>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Proyecto</v>
      </c>
      <c r="C65" s="85" t="str" cm="1">
        <f t="array" ref="C65">IFERROR(INDEX('03.Muestra'!$F$8:$F$42,SMALL(IF("Página Web"='03.Muestra'!$D$8:$D$42,ROW('03.Muestra'!$F$8:$F$42)-MIN(ROW('03.Muestra'!$D$8:$D$42))+1,""),ROW()-56)),"")</f>
        <v>https://www.comunidad.madrid/transparencia/proyecto-orden-que-se-crea-comision-farmacia-y-productos-sanitarios-cm-y-se-establece-su-composicion</v>
      </c>
      <c r="D65" s="99" t="s">
        <v>93</v>
      </c>
      <c r="E65" s="79" t="str">
        <f t="shared" si="2"/>
        <v/>
      </c>
      <c r="F65" s="18"/>
      <c r="G65" s="18"/>
      <c r="H65" s="18"/>
      <c r="I65" s="18"/>
      <c r="J65" s="18"/>
      <c r="K65" s="183"/>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Planes y Programas</v>
      </c>
      <c r="C66" s="85" t="str" cm="1">
        <f t="array" ref="C66">IFERROR(INDEX('03.Muestra'!$F$8:$F$42,SMALL(IF("Página Web"='03.Muestra'!$D$8:$D$42,ROW('03.Muestra'!$F$8:$F$42)-MIN(ROW('03.Muestra'!$D$8:$D$42))+1,""),ROW()-56)),"")</f>
        <v>https://www.comunidad.madrid/transparencia/normativa-planificacion/planes-programas</v>
      </c>
      <c r="D66" s="99" t="s">
        <v>93</v>
      </c>
      <c r="E66" s="79" t="str">
        <f t="shared" si="2"/>
        <v/>
      </c>
      <c r="F66" s="18"/>
      <c r="G66" s="18"/>
      <c r="H66" s="18"/>
      <c r="I66" s="18"/>
      <c r="J66" s="18"/>
      <c r="K66" s="183"/>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Estrategia</v>
      </c>
      <c r="C67" s="85" t="str" cm="1">
        <f t="array" ref="C67">IFERROR(INDEX('03.Muestra'!$F$8:$F$42,SMALL(IF("Página Web"='03.Muestra'!$D$8:$D$42,ROW('03.Muestra'!$F$8:$F$42)-MIN(ROW('03.Muestra'!$D$8:$D$42))+1,""),ROW()-56)),"")</f>
        <v>https://www.comunidad.madrid/transparencia/informacion-institucional/planes-programas/estrategia-seguridad-del-paciente-del-servicio-madrileno</v>
      </c>
      <c r="D67" s="99" t="s">
        <v>93</v>
      </c>
      <c r="E67" s="79" t="str">
        <f t="shared" si="2"/>
        <v/>
      </c>
      <c r="F67" s="18"/>
      <c r="G67" s="18"/>
      <c r="H67" s="18"/>
      <c r="I67" s="18"/>
      <c r="J67" s="18"/>
      <c r="K67" s="183"/>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Huella</v>
      </c>
      <c r="C68" s="85" t="str" cm="1">
        <f t="array" ref="C68">IFERROR(INDEX('03.Muestra'!$F$8:$F$42,SMALL(IF("Página Web"='03.Muestra'!$D$8:$D$42,ROW('03.Muestra'!$F$8:$F$42)-MIN(ROW('03.Muestra'!$D$8:$D$42))+1,""),ROW()-56)),"")</f>
        <v>https://www.comunidad.madrid/transparencia/normativa-planificacion/huella-normativa</v>
      </c>
      <c r="D68" s="99" t="s">
        <v>93</v>
      </c>
      <c r="E68" s="79" t="str">
        <f t="shared" si="2"/>
        <v/>
      </c>
      <c r="F68" s="18"/>
      <c r="G68" s="18"/>
      <c r="H68" s="18"/>
      <c r="I68" s="18"/>
      <c r="J68" s="18"/>
      <c r="K68" s="183"/>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Decreto</v>
      </c>
      <c r="C69" s="85" t="str" cm="1">
        <f t="array" ref="C69">IFERROR(INDEX('03.Muestra'!$F$8:$F$42,SMALL(IF("Página Web"='03.Muestra'!$D$8:$D$42,ROW('03.Muestra'!$F$8:$F$42)-MIN(ROW('03.Muestra'!$D$8:$D$42))+1,""),ROW()-56)),"")</f>
        <v>https://www.comunidad.madrid/transparencia/decreto-del-consejo-gobierno-que-se-establece-estructura-organica-consejeria-familia-juventud-y</v>
      </c>
      <c r="D69" s="99" t="s">
        <v>93</v>
      </c>
      <c r="E69" s="79" t="str">
        <f t="shared" si="2"/>
        <v/>
      </c>
      <c r="F69" s="18"/>
      <c r="G69" s="18"/>
      <c r="H69" s="18"/>
      <c r="I69" s="18"/>
      <c r="J69" s="18"/>
      <c r="K69" s="183"/>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Entidades Locales</v>
      </c>
      <c r="C70" s="85" t="str" cm="1">
        <f t="array" ref="C70">IFERROR(INDEX('03.Muestra'!$F$8:$F$42,SMALL(IF("Página Web"='03.Muestra'!$D$8:$D$42,ROW('03.Muestra'!$F$8:$F$42)-MIN(ROW('03.Muestra'!$D$8:$D$42))+1,""),ROW()-56)),"")</f>
        <v>https://www.comunidad.madrid/transparencia/entidades-locales</v>
      </c>
      <c r="D70" s="99" t="s">
        <v>93</v>
      </c>
      <c r="E70" s="79" t="str">
        <f t="shared" si="2"/>
        <v/>
      </c>
      <c r="F70" s="18"/>
      <c r="G70" s="18"/>
      <c r="H70" s="18"/>
      <c r="I70" s="18"/>
      <c r="J70" s="18"/>
      <c r="K70" s="183"/>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3"/>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3"/>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3"/>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3"/>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3"/>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3"/>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3"/>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3"/>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3"/>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3"/>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3"/>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3"/>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3"/>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3"/>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3"/>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3"/>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3"/>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3"/>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3"/>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3"/>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3"/>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3"/>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3"/>
      <c r="L93" s="18"/>
      <c r="M93" s="18"/>
      <c r="N93" s="18"/>
      <c r="O93" s="18"/>
      <c r="P93" s="18"/>
      <c r="Q93" s="18"/>
      <c r="R93" s="18"/>
      <c r="S93" s="18"/>
      <c r="T93" s="18"/>
      <c r="U93" s="18"/>
      <c r="V93" s="18"/>
      <c r="W93" s="18"/>
      <c r="X93" s="18"/>
      <c r="Y93" s="18"/>
    </row>
    <row r="94" spans="1:25" ht="29.25" customHeight="1">
      <c r="A94" s="172" t="s">
        <v>98</v>
      </c>
      <c r="B94" s="23" t="s">
        <v>90</v>
      </c>
      <c r="C94" s="24" t="s">
        <v>248</v>
      </c>
      <c r="D94" s="25" t="s">
        <v>100</v>
      </c>
      <c r="E94" s="93"/>
      <c r="K94" s="183"/>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93</v>
      </c>
      <c r="E95" s="79" t="str">
        <f t="shared" ref="E95:E129" si="4">IF(D95&lt;&gt;"",IF(AND(B95&lt;&gt;"",C95&lt;&gt;""),"","ERR"),"")</f>
        <v/>
      </c>
      <c r="F95" s="86" t="s">
        <v>101</v>
      </c>
      <c r="G95" s="87" t="s">
        <v>102</v>
      </c>
      <c r="H95" s="88" t="s">
        <v>103</v>
      </c>
      <c r="I95" s="89" t="s">
        <v>93</v>
      </c>
      <c r="J95" s="90" t="s">
        <v>91</v>
      </c>
      <c r="K95" s="178"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Aviso legal</v>
      </c>
      <c r="C96" s="85" t="str" cm="1">
        <f t="array" ref="C96">IFERROR(INDEX('03.Muestra'!$F$8:$F$42,SMALL(IF("Página Web"='03.Muestra'!$D$8:$D$42,ROW('03.Muestra'!$F$8:$F$42)-MIN(ROW('03.Muestra'!$D$8:$D$42))+1,""),ROW()-94)),"")</f>
        <v>https://www.comunidad.madrid/transparencia/aviso-legal</v>
      </c>
      <c r="D96" s="99" t="s">
        <v>93</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14</v>
      </c>
      <c r="J96" s="91">
        <f ca="1">COUNTIF($D95:INDIRECT("$D" &amp;  SUM(ROW()-1,'03.Muestra'!$D$45)-1),J95)</f>
        <v>0</v>
      </c>
      <c r="K96" s="179">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Accesibilidad</v>
      </c>
      <c r="C97" s="85" t="str" cm="1">
        <f t="array" ref="C97">IFERROR(INDEX('03.Muestra'!$F$8:$F$42,SMALL(IF("Página Web"='03.Muestra'!$D$8:$D$42,ROW('03.Muestra'!$F$8:$F$42)-MIN(ROW('03.Muestra'!$D$8:$D$42))+1,""),ROW()-94)),"")</f>
        <v>https://www.comunidad.madrid/transparencia/declaracion-accesibilidad</v>
      </c>
      <c r="D97" s="99" t="s">
        <v>93</v>
      </c>
      <c r="E97" s="79" t="str">
        <f t="shared" si="4"/>
        <v/>
      </c>
      <c r="G97" s="18"/>
      <c r="H97" s="18"/>
      <c r="I97" s="18"/>
      <c r="J97" s="18"/>
      <c r="K97" s="183"/>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Tranparencia</v>
      </c>
      <c r="C98" s="85" t="str" cm="1">
        <f t="array" ref="C98">IFERROR(INDEX('03.Muestra'!$F$8:$F$42,SMALL(IF("Página Web"='03.Muestra'!$D$8:$D$42,ROW('03.Muestra'!$F$8:$F$42)-MIN(ROW('03.Muestra'!$D$8:$D$42))+1,""),ROW()-94)),"")</f>
        <v>https://www.comunidad.madrid/transparencia/que-es-transparencia</v>
      </c>
      <c r="D98" s="99" t="s">
        <v>93</v>
      </c>
      <c r="E98" s="79" t="str">
        <f t="shared" si="4"/>
        <v/>
      </c>
      <c r="G98" s="18"/>
      <c r="H98" s="18"/>
      <c r="I98" s="18"/>
      <c r="J98" s="18"/>
      <c r="K98" s="183"/>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Organización</v>
      </c>
      <c r="C99" s="85" t="str" cm="1">
        <f t="array" ref="C99">IFERROR(INDEX('03.Muestra'!$F$8:$F$42,SMALL(IF("Página Web"='03.Muestra'!$D$8:$D$42,ROW('03.Muestra'!$F$8:$F$42)-MIN(ROW('03.Muestra'!$D$8:$D$42))+1,""),ROW()-94)),"")</f>
        <v>https://www.comunidad.madrid/transparencia/organizacion-recursos/organizacion</v>
      </c>
      <c r="D99" s="99" t="s">
        <v>93</v>
      </c>
      <c r="E99" s="79" t="str">
        <f t="shared" si="4"/>
        <v/>
      </c>
      <c r="G99" s="18"/>
      <c r="H99" s="18"/>
      <c r="I99" s="18"/>
      <c r="J99" s="18"/>
      <c r="K99" s="183"/>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Quejas</v>
      </c>
      <c r="C100" s="85" t="str" cm="1">
        <f t="array" ref="C100">IFERROR(INDEX('03.Muestra'!$F$8:$F$42,SMALL(IF("Página Web"='03.Muestra'!$D$8:$D$42,ROW('03.Muestra'!$F$8:$F$42)-MIN(ROW('03.Muestra'!$D$8:$D$42))+1,""),ROW()-94)),"")</f>
        <v>https://www.comunidad.madrid/transparencia/quejas-y-reclamaciones</v>
      </c>
      <c r="D100" s="99" t="s">
        <v>93</v>
      </c>
      <c r="E100" s="79" t="str">
        <f t="shared" si="4"/>
        <v/>
      </c>
      <c r="G100" s="18"/>
      <c r="H100" s="18"/>
      <c r="I100" s="18"/>
      <c r="J100" s="18"/>
      <c r="K100" s="183"/>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Contratos</v>
      </c>
      <c r="C101" s="85" t="str" cm="1">
        <f t="array" ref="C101">IFERROR(INDEX('03.Muestra'!$F$8:$F$42,SMALL(IF("Página Web"='03.Muestra'!$D$8:$D$42,ROW('03.Muestra'!$F$8:$F$42)-MIN(ROW('03.Muestra'!$D$8:$D$42))+1,""),ROW()-94)),"")</f>
        <v>https://www.comunidad.madrid/transparencia/contratos</v>
      </c>
      <c r="D101" s="99" t="s">
        <v>93</v>
      </c>
      <c r="E101" s="79" t="str">
        <f t="shared" si="4"/>
        <v/>
      </c>
      <c r="F101" s="18"/>
      <c r="G101" s="18"/>
      <c r="H101" s="18"/>
      <c r="I101" s="18"/>
      <c r="J101" s="18"/>
      <c r="K101" s="183"/>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v>
      </c>
      <c r="C102" s="85" t="str" cm="1">
        <f t="array" ref="C102">IFERROR(INDEX('03.Muestra'!$F$8:$F$42,SMALL(IF("Página Web"='03.Muestra'!$D$8:$D$42,ROW('03.Muestra'!$F$8:$F$42)-MIN(ROW('03.Muestra'!$D$8:$D$42))+1,""),ROW()-94)),"")</f>
        <v>https://www.comunidad.madrid/transparencia/normativa-planificacion/consulta-publica</v>
      </c>
      <c r="D102" s="99" t="s">
        <v>93</v>
      </c>
      <c r="E102" s="79" t="str">
        <f t="shared" si="4"/>
        <v/>
      </c>
      <c r="F102" s="18"/>
      <c r="G102" s="18"/>
      <c r="H102" s="18"/>
      <c r="I102" s="18"/>
      <c r="J102" s="18"/>
      <c r="K102" s="183"/>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Proyecto</v>
      </c>
      <c r="C103" s="85" t="str" cm="1">
        <f t="array" ref="C103">IFERROR(INDEX('03.Muestra'!$F$8:$F$42,SMALL(IF("Página Web"='03.Muestra'!$D$8:$D$42,ROW('03.Muestra'!$F$8:$F$42)-MIN(ROW('03.Muestra'!$D$8:$D$42))+1,""),ROW()-94)),"")</f>
        <v>https://www.comunidad.madrid/transparencia/proyecto-orden-que-se-crea-comision-farmacia-y-productos-sanitarios-cm-y-se-establece-su-composicion</v>
      </c>
      <c r="D103" s="99" t="s">
        <v>93</v>
      </c>
      <c r="E103" s="79" t="str">
        <f t="shared" si="4"/>
        <v/>
      </c>
      <c r="F103" s="18"/>
      <c r="G103" s="18"/>
      <c r="H103" s="18"/>
      <c r="I103" s="18"/>
      <c r="J103" s="18"/>
      <c r="K103" s="183"/>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Planes y Programas</v>
      </c>
      <c r="C104" s="85" t="str" cm="1">
        <f t="array" ref="C104">IFERROR(INDEX('03.Muestra'!$F$8:$F$42,SMALL(IF("Página Web"='03.Muestra'!$D$8:$D$42,ROW('03.Muestra'!$F$8:$F$42)-MIN(ROW('03.Muestra'!$D$8:$D$42))+1,""),ROW()-94)),"")</f>
        <v>https://www.comunidad.madrid/transparencia/normativa-planificacion/planes-programas</v>
      </c>
      <c r="D104" s="99" t="s">
        <v>93</v>
      </c>
      <c r="E104" s="79" t="str">
        <f t="shared" si="4"/>
        <v/>
      </c>
      <c r="F104" s="18"/>
      <c r="G104" s="18"/>
      <c r="H104" s="18"/>
      <c r="I104" s="18"/>
      <c r="J104" s="18"/>
      <c r="K104" s="183"/>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Estrategia</v>
      </c>
      <c r="C105" s="85" t="str" cm="1">
        <f t="array" ref="C105">IFERROR(INDEX('03.Muestra'!$F$8:$F$42,SMALL(IF("Página Web"='03.Muestra'!$D$8:$D$42,ROW('03.Muestra'!$F$8:$F$42)-MIN(ROW('03.Muestra'!$D$8:$D$42))+1,""),ROW()-94)),"")</f>
        <v>https://www.comunidad.madrid/transparencia/informacion-institucional/planes-programas/estrategia-seguridad-del-paciente-del-servicio-madrileno</v>
      </c>
      <c r="D105" s="99" t="s">
        <v>93</v>
      </c>
      <c r="E105" s="79" t="str">
        <f t="shared" si="4"/>
        <v/>
      </c>
      <c r="F105" s="18"/>
      <c r="G105" s="18"/>
      <c r="H105" s="18"/>
      <c r="I105" s="18"/>
      <c r="J105" s="18"/>
      <c r="K105" s="183"/>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Huella</v>
      </c>
      <c r="C106" s="85" t="str" cm="1">
        <f t="array" ref="C106">IFERROR(INDEX('03.Muestra'!$F$8:$F$42,SMALL(IF("Página Web"='03.Muestra'!$D$8:$D$42,ROW('03.Muestra'!$F$8:$F$42)-MIN(ROW('03.Muestra'!$D$8:$D$42))+1,""),ROW()-94)),"")</f>
        <v>https://www.comunidad.madrid/transparencia/normativa-planificacion/huella-normativa</v>
      </c>
      <c r="D106" s="99" t="s">
        <v>93</v>
      </c>
      <c r="E106" s="79" t="str">
        <f t="shared" si="4"/>
        <v/>
      </c>
      <c r="F106" s="18"/>
      <c r="G106" s="18"/>
      <c r="H106" s="18"/>
      <c r="I106" s="18"/>
      <c r="J106" s="18"/>
      <c r="K106" s="183"/>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Decreto</v>
      </c>
      <c r="C107" s="85" t="str" cm="1">
        <f t="array" ref="C107">IFERROR(INDEX('03.Muestra'!$F$8:$F$42,SMALL(IF("Página Web"='03.Muestra'!$D$8:$D$42,ROW('03.Muestra'!$F$8:$F$42)-MIN(ROW('03.Muestra'!$D$8:$D$42))+1,""),ROW()-94)),"")</f>
        <v>https://www.comunidad.madrid/transparencia/decreto-del-consejo-gobierno-que-se-establece-estructura-organica-consejeria-familia-juventud-y</v>
      </c>
      <c r="D107" s="99" t="s">
        <v>93</v>
      </c>
      <c r="E107" s="79" t="str">
        <f t="shared" si="4"/>
        <v/>
      </c>
      <c r="F107" s="18"/>
      <c r="G107" s="18"/>
      <c r="H107" s="18"/>
      <c r="I107" s="18"/>
      <c r="J107" s="18"/>
      <c r="K107" s="183"/>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Entidades Locales</v>
      </c>
      <c r="C108" s="85" t="str" cm="1">
        <f t="array" ref="C108">IFERROR(INDEX('03.Muestra'!$F$8:$F$42,SMALL(IF("Página Web"='03.Muestra'!$D$8:$D$42,ROW('03.Muestra'!$F$8:$F$42)-MIN(ROW('03.Muestra'!$D$8:$D$42))+1,""),ROW()-94)),"")</f>
        <v>https://www.comunidad.madrid/transparencia/entidades-locales</v>
      </c>
      <c r="D108" s="99" t="s">
        <v>93</v>
      </c>
      <c r="E108" s="79" t="str">
        <f t="shared" si="4"/>
        <v/>
      </c>
      <c r="F108" s="18"/>
      <c r="G108" s="18"/>
      <c r="H108" s="18"/>
      <c r="I108" s="18"/>
      <c r="J108" s="18"/>
      <c r="K108" s="183"/>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3"/>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3"/>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3"/>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3"/>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3"/>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3"/>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3"/>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3"/>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3"/>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3"/>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3"/>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3"/>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3"/>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3"/>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3"/>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3"/>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3"/>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3"/>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3"/>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3"/>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3"/>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3"/>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3"/>
      <c r="L131" s="18"/>
      <c r="M131" s="18"/>
      <c r="N131" s="18"/>
      <c r="O131" s="18"/>
      <c r="P131" s="18"/>
      <c r="Q131" s="18"/>
      <c r="R131" s="18"/>
      <c r="S131" s="18"/>
      <c r="T131" s="18"/>
      <c r="U131" s="18"/>
      <c r="V131" s="18"/>
      <c r="W131" s="18"/>
      <c r="X131" s="18"/>
      <c r="Y131" s="18"/>
    </row>
    <row r="132" spans="1:25" ht="29.25" customHeight="1">
      <c r="A132" s="172" t="s">
        <v>98</v>
      </c>
      <c r="B132" s="23" t="s">
        <v>90</v>
      </c>
      <c r="C132" s="24" t="s">
        <v>249</v>
      </c>
      <c r="D132" s="25" t="s">
        <v>100</v>
      </c>
      <c r="E132" s="93"/>
      <c r="K132" s="183"/>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91</v>
      </c>
      <c r="E133" s="79" t="str">
        <f t="shared" ref="E133:E167" si="6">IF(D133&lt;&gt;"",IF(AND(B133&lt;&gt;"",C133&lt;&gt;""),"","ERR"),"")</f>
        <v/>
      </c>
      <c r="F133" s="86" t="s">
        <v>101</v>
      </c>
      <c r="G133" s="87" t="s">
        <v>102</v>
      </c>
      <c r="H133" s="88" t="s">
        <v>103</v>
      </c>
      <c r="I133" s="89" t="s">
        <v>93</v>
      </c>
      <c r="J133" s="90" t="s">
        <v>91</v>
      </c>
      <c r="K133" s="178"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Aviso legal</v>
      </c>
      <c r="C134" s="85" t="str" cm="1">
        <f t="array" ref="C134">IFERROR(INDEX('03.Muestra'!$F$8:$F$42,SMALL(IF("Página Web"='03.Muestra'!$D$8:$D$42,ROW('03.Muestra'!$F$8:$F$42)-MIN(ROW('03.Muestra'!$D$8:$D$42))+1,""),ROW()-132)),"")</f>
        <v>https://www.comunidad.madrid/transparencia/aviso-legal</v>
      </c>
      <c r="D134" s="99" t="s">
        <v>91</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14</v>
      </c>
      <c r="K134" s="179">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Accesibilidad</v>
      </c>
      <c r="C135" s="85" t="str" cm="1">
        <f t="array" ref="C135">IFERROR(INDEX('03.Muestra'!$F$8:$F$42,SMALL(IF("Página Web"='03.Muestra'!$D$8:$D$42,ROW('03.Muestra'!$F$8:$F$42)-MIN(ROW('03.Muestra'!$D$8:$D$42))+1,""),ROW()-132)),"")</f>
        <v>https://www.comunidad.madrid/transparencia/declaracion-accesibilidad</v>
      </c>
      <c r="D135" s="99" t="s">
        <v>91</v>
      </c>
      <c r="E135" s="79" t="str">
        <f t="shared" si="6"/>
        <v/>
      </c>
      <c r="G135" s="18"/>
      <c r="H135" s="18"/>
      <c r="I135" s="18"/>
      <c r="J135" s="18"/>
      <c r="K135" s="183"/>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Tranparencia</v>
      </c>
      <c r="C136" s="85" t="str" cm="1">
        <f t="array" ref="C136">IFERROR(INDEX('03.Muestra'!$F$8:$F$42,SMALL(IF("Página Web"='03.Muestra'!$D$8:$D$42,ROW('03.Muestra'!$F$8:$F$42)-MIN(ROW('03.Muestra'!$D$8:$D$42))+1,""),ROW()-132)),"")</f>
        <v>https://www.comunidad.madrid/transparencia/que-es-transparencia</v>
      </c>
      <c r="D136" s="99" t="s">
        <v>91</v>
      </c>
      <c r="E136" s="79" t="str">
        <f t="shared" si="6"/>
        <v/>
      </c>
      <c r="G136" s="18"/>
      <c r="H136" s="18"/>
      <c r="I136" s="18"/>
      <c r="J136" s="18"/>
      <c r="K136" s="183"/>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Organización</v>
      </c>
      <c r="C137" s="85" t="str" cm="1">
        <f t="array" ref="C137">IFERROR(INDEX('03.Muestra'!$F$8:$F$42,SMALL(IF("Página Web"='03.Muestra'!$D$8:$D$42,ROW('03.Muestra'!$F$8:$F$42)-MIN(ROW('03.Muestra'!$D$8:$D$42))+1,""),ROW()-132)),"")</f>
        <v>https://www.comunidad.madrid/transparencia/organizacion-recursos/organizacion</v>
      </c>
      <c r="D137" s="99" t="s">
        <v>91</v>
      </c>
      <c r="E137" s="79" t="str">
        <f t="shared" si="6"/>
        <v/>
      </c>
      <c r="G137" s="18"/>
      <c r="H137" s="18"/>
      <c r="I137" s="18"/>
      <c r="J137" s="18"/>
      <c r="K137" s="183"/>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Quejas</v>
      </c>
      <c r="C138" s="85" t="str" cm="1">
        <f t="array" ref="C138">IFERROR(INDEX('03.Muestra'!$F$8:$F$42,SMALL(IF("Página Web"='03.Muestra'!$D$8:$D$42,ROW('03.Muestra'!$F$8:$F$42)-MIN(ROW('03.Muestra'!$D$8:$D$42))+1,""),ROW()-132)),"")</f>
        <v>https://www.comunidad.madrid/transparencia/quejas-y-reclamaciones</v>
      </c>
      <c r="D138" s="99" t="s">
        <v>91</v>
      </c>
      <c r="E138" s="79" t="str">
        <f t="shared" si="6"/>
        <v/>
      </c>
      <c r="G138" s="18"/>
      <c r="H138" s="18"/>
      <c r="I138" s="18"/>
      <c r="J138" s="18"/>
      <c r="K138" s="183"/>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Contratos</v>
      </c>
      <c r="C139" s="85" t="str" cm="1">
        <f t="array" ref="C139">IFERROR(INDEX('03.Muestra'!$F$8:$F$42,SMALL(IF("Página Web"='03.Muestra'!$D$8:$D$42,ROW('03.Muestra'!$F$8:$F$42)-MIN(ROW('03.Muestra'!$D$8:$D$42))+1,""),ROW()-132)),"")</f>
        <v>https://www.comunidad.madrid/transparencia/contratos</v>
      </c>
      <c r="D139" s="99" t="s">
        <v>91</v>
      </c>
      <c r="E139" s="79" t="str">
        <f t="shared" si="6"/>
        <v/>
      </c>
      <c r="F139" s="18"/>
      <c r="G139" s="18"/>
      <c r="H139" s="18"/>
      <c r="I139" s="18"/>
      <c r="J139" s="18"/>
      <c r="K139" s="183"/>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v>
      </c>
      <c r="C140" s="85" t="str" cm="1">
        <f t="array" ref="C140">IFERROR(INDEX('03.Muestra'!$F$8:$F$42,SMALL(IF("Página Web"='03.Muestra'!$D$8:$D$42,ROW('03.Muestra'!$F$8:$F$42)-MIN(ROW('03.Muestra'!$D$8:$D$42))+1,""),ROW()-132)),"")</f>
        <v>https://www.comunidad.madrid/transparencia/normativa-planificacion/consulta-publica</v>
      </c>
      <c r="D140" s="99" t="s">
        <v>91</v>
      </c>
      <c r="E140" s="79" t="str">
        <f t="shared" si="6"/>
        <v/>
      </c>
      <c r="F140" s="18"/>
      <c r="G140" s="18"/>
      <c r="H140" s="18"/>
      <c r="I140" s="18"/>
      <c r="J140" s="18"/>
      <c r="K140" s="183"/>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Proyecto</v>
      </c>
      <c r="C141" s="85" t="str" cm="1">
        <f t="array" ref="C141">IFERROR(INDEX('03.Muestra'!$F$8:$F$42,SMALL(IF("Página Web"='03.Muestra'!$D$8:$D$42,ROW('03.Muestra'!$F$8:$F$42)-MIN(ROW('03.Muestra'!$D$8:$D$42))+1,""),ROW()-132)),"")</f>
        <v>https://www.comunidad.madrid/transparencia/proyecto-orden-que-se-crea-comision-farmacia-y-productos-sanitarios-cm-y-se-establece-su-composicion</v>
      </c>
      <c r="D141" s="99" t="s">
        <v>91</v>
      </c>
      <c r="E141" s="79" t="str">
        <f t="shared" si="6"/>
        <v/>
      </c>
      <c r="F141" s="18"/>
      <c r="G141" s="18"/>
      <c r="H141" s="18"/>
      <c r="I141" s="18"/>
      <c r="J141" s="18"/>
      <c r="K141" s="183"/>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Planes y Programas</v>
      </c>
      <c r="C142" s="85" t="str" cm="1">
        <f t="array" ref="C142">IFERROR(INDEX('03.Muestra'!$F$8:$F$42,SMALL(IF("Página Web"='03.Muestra'!$D$8:$D$42,ROW('03.Muestra'!$F$8:$F$42)-MIN(ROW('03.Muestra'!$D$8:$D$42))+1,""),ROW()-132)),"")</f>
        <v>https://www.comunidad.madrid/transparencia/normativa-planificacion/planes-programas</v>
      </c>
      <c r="D142" s="99" t="s">
        <v>91</v>
      </c>
      <c r="E142" s="79" t="str">
        <f t="shared" si="6"/>
        <v/>
      </c>
      <c r="F142" s="18"/>
      <c r="G142" s="18"/>
      <c r="H142" s="18"/>
      <c r="I142" s="18"/>
      <c r="J142" s="18"/>
      <c r="K142" s="183"/>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Estrategia</v>
      </c>
      <c r="C143" s="85" t="str" cm="1">
        <f t="array" ref="C143">IFERROR(INDEX('03.Muestra'!$F$8:$F$42,SMALL(IF("Página Web"='03.Muestra'!$D$8:$D$42,ROW('03.Muestra'!$F$8:$F$42)-MIN(ROW('03.Muestra'!$D$8:$D$42))+1,""),ROW()-132)),"")</f>
        <v>https://www.comunidad.madrid/transparencia/informacion-institucional/planes-programas/estrategia-seguridad-del-paciente-del-servicio-madrileno</v>
      </c>
      <c r="D143" s="99" t="s">
        <v>91</v>
      </c>
      <c r="E143" s="79" t="str">
        <f t="shared" si="6"/>
        <v/>
      </c>
      <c r="F143" s="18"/>
      <c r="G143" s="18"/>
      <c r="H143" s="18"/>
      <c r="I143" s="18"/>
      <c r="J143" s="18"/>
      <c r="K143" s="183"/>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Huella</v>
      </c>
      <c r="C144" s="85" t="str" cm="1">
        <f t="array" ref="C144">IFERROR(INDEX('03.Muestra'!$F$8:$F$42,SMALL(IF("Página Web"='03.Muestra'!$D$8:$D$42,ROW('03.Muestra'!$F$8:$F$42)-MIN(ROW('03.Muestra'!$D$8:$D$42))+1,""),ROW()-132)),"")</f>
        <v>https://www.comunidad.madrid/transparencia/normativa-planificacion/huella-normativa</v>
      </c>
      <c r="D144" s="99" t="s">
        <v>91</v>
      </c>
      <c r="E144" s="79" t="str">
        <f t="shared" si="6"/>
        <v/>
      </c>
      <c r="F144" s="18"/>
      <c r="G144" s="18"/>
      <c r="H144" s="18"/>
      <c r="I144" s="18"/>
      <c r="J144" s="18"/>
      <c r="K144" s="183"/>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Decreto</v>
      </c>
      <c r="C145" s="85" t="str" cm="1">
        <f t="array" ref="C145">IFERROR(INDEX('03.Muestra'!$F$8:$F$42,SMALL(IF("Página Web"='03.Muestra'!$D$8:$D$42,ROW('03.Muestra'!$F$8:$F$42)-MIN(ROW('03.Muestra'!$D$8:$D$42))+1,""),ROW()-132)),"")</f>
        <v>https://www.comunidad.madrid/transparencia/decreto-del-consejo-gobierno-que-se-establece-estructura-organica-consejeria-familia-juventud-y</v>
      </c>
      <c r="D145" s="99" t="s">
        <v>91</v>
      </c>
      <c r="E145" s="79" t="str">
        <f t="shared" si="6"/>
        <v/>
      </c>
      <c r="F145" s="18"/>
      <c r="G145" s="18"/>
      <c r="H145" s="18"/>
      <c r="I145" s="18"/>
      <c r="J145" s="18"/>
      <c r="K145" s="183"/>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Entidades Locales</v>
      </c>
      <c r="C146" s="85" t="str" cm="1">
        <f t="array" ref="C146">IFERROR(INDEX('03.Muestra'!$F$8:$F$42,SMALL(IF("Página Web"='03.Muestra'!$D$8:$D$42,ROW('03.Muestra'!$F$8:$F$42)-MIN(ROW('03.Muestra'!$D$8:$D$42))+1,""),ROW()-132)),"")</f>
        <v>https://www.comunidad.madrid/transparencia/entidades-locales</v>
      </c>
      <c r="D146" s="99" t="s">
        <v>91</v>
      </c>
      <c r="E146" s="79" t="str">
        <f t="shared" si="6"/>
        <v/>
      </c>
      <c r="F146" s="18"/>
      <c r="G146" s="18"/>
      <c r="H146" s="18"/>
      <c r="I146" s="18"/>
      <c r="J146" s="18"/>
      <c r="K146" s="183"/>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3"/>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3"/>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3"/>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3"/>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3"/>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3"/>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3"/>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3"/>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3"/>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3"/>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3"/>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3"/>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3"/>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3"/>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3"/>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3"/>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3"/>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3"/>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3"/>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3"/>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3"/>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3"/>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3"/>
      <c r="L169" s="18"/>
      <c r="M169" s="18"/>
      <c r="N169" s="18"/>
      <c r="O169" s="18"/>
      <c r="P169" s="18"/>
      <c r="Q169" s="18"/>
      <c r="R169" s="18"/>
      <c r="S169" s="18"/>
      <c r="T169" s="18"/>
      <c r="U169" s="18"/>
      <c r="V169" s="18"/>
      <c r="W169" s="18"/>
      <c r="X169" s="18"/>
      <c r="Y169" s="18"/>
    </row>
    <row r="170" spans="1:25" ht="29.25" customHeight="1">
      <c r="A170" s="172" t="s">
        <v>98</v>
      </c>
      <c r="B170" s="23" t="s">
        <v>90</v>
      </c>
      <c r="C170" s="24" t="s">
        <v>250</v>
      </c>
      <c r="D170" s="25" t="s">
        <v>100</v>
      </c>
      <c r="E170" s="93"/>
      <c r="K170" s="183"/>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93</v>
      </c>
      <c r="E171" s="79" t="str">
        <f t="shared" ref="E171:E205" si="8">IF(D171&lt;&gt;"",IF(AND(B171&lt;&gt;"",C171&lt;&gt;""),"","ERR"),"")</f>
        <v/>
      </c>
      <c r="F171" s="86" t="s">
        <v>101</v>
      </c>
      <c r="G171" s="87" t="s">
        <v>102</v>
      </c>
      <c r="H171" s="88" t="s">
        <v>103</v>
      </c>
      <c r="I171" s="89" t="s">
        <v>93</v>
      </c>
      <c r="J171" s="90" t="s">
        <v>91</v>
      </c>
      <c r="K171" s="178"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Aviso legal</v>
      </c>
      <c r="C172" s="85" t="str" cm="1">
        <f t="array" ref="C172">IFERROR(INDEX('03.Muestra'!$F$8:$F$42,SMALL(IF("Página Web"='03.Muestra'!$D$8:$D$42,ROW('03.Muestra'!$F$8:$F$42)-MIN(ROW('03.Muestra'!$D$8:$D$42))+1,""),ROW()-170)),"")</f>
        <v>https://www.comunidad.madrid/transparencia/aviso-legal</v>
      </c>
      <c r="D172" s="99" t="s">
        <v>93</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14</v>
      </c>
      <c r="J172" s="91">
        <f ca="1">COUNTIF($D171:INDIRECT("$D" &amp;  SUM(ROW()-1,'03.Muestra'!$D$45)-1),J171)</f>
        <v>0</v>
      </c>
      <c r="K172" s="179">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Accesibilidad</v>
      </c>
      <c r="C173" s="85" t="str" cm="1">
        <f t="array" ref="C173">IFERROR(INDEX('03.Muestra'!$F$8:$F$42,SMALL(IF("Página Web"='03.Muestra'!$D$8:$D$42,ROW('03.Muestra'!$F$8:$F$42)-MIN(ROW('03.Muestra'!$D$8:$D$42))+1,""),ROW()-170)),"")</f>
        <v>https://www.comunidad.madrid/transparencia/declaracion-accesibilidad</v>
      </c>
      <c r="D173" s="99" t="s">
        <v>93</v>
      </c>
      <c r="E173" s="79" t="str">
        <f t="shared" si="8"/>
        <v/>
      </c>
      <c r="G173" s="18"/>
      <c r="H173" s="18"/>
      <c r="I173" s="18"/>
      <c r="J173" s="18"/>
      <c r="K173" s="183"/>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Tranparencia</v>
      </c>
      <c r="C174" s="85" t="str" cm="1">
        <f t="array" ref="C174">IFERROR(INDEX('03.Muestra'!$F$8:$F$42,SMALL(IF("Página Web"='03.Muestra'!$D$8:$D$42,ROW('03.Muestra'!$F$8:$F$42)-MIN(ROW('03.Muestra'!$D$8:$D$42))+1,""),ROW()-170)),"")</f>
        <v>https://www.comunidad.madrid/transparencia/que-es-transparencia</v>
      </c>
      <c r="D174" s="99" t="s">
        <v>93</v>
      </c>
      <c r="E174" s="79" t="str">
        <f t="shared" si="8"/>
        <v/>
      </c>
      <c r="G174" s="18"/>
      <c r="H174" s="18"/>
      <c r="I174" s="18"/>
      <c r="J174" s="18"/>
      <c r="K174" s="183"/>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Organización</v>
      </c>
      <c r="C175" s="85" t="str" cm="1">
        <f t="array" ref="C175">IFERROR(INDEX('03.Muestra'!$F$8:$F$42,SMALL(IF("Página Web"='03.Muestra'!$D$8:$D$42,ROW('03.Muestra'!$F$8:$F$42)-MIN(ROW('03.Muestra'!$D$8:$D$42))+1,""),ROW()-170)),"")</f>
        <v>https://www.comunidad.madrid/transparencia/organizacion-recursos/organizacion</v>
      </c>
      <c r="D175" s="99" t="s">
        <v>93</v>
      </c>
      <c r="E175" s="79" t="str">
        <f t="shared" si="8"/>
        <v/>
      </c>
      <c r="G175" s="18"/>
      <c r="H175" s="18"/>
      <c r="I175" s="18"/>
      <c r="J175" s="18"/>
      <c r="K175" s="183"/>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Quejas</v>
      </c>
      <c r="C176" s="85" t="str" cm="1">
        <f t="array" ref="C176">IFERROR(INDEX('03.Muestra'!$F$8:$F$42,SMALL(IF("Página Web"='03.Muestra'!$D$8:$D$42,ROW('03.Muestra'!$F$8:$F$42)-MIN(ROW('03.Muestra'!$D$8:$D$42))+1,""),ROW()-170)),"")</f>
        <v>https://www.comunidad.madrid/transparencia/quejas-y-reclamaciones</v>
      </c>
      <c r="D176" s="99" t="s">
        <v>93</v>
      </c>
      <c r="E176" s="79" t="str">
        <f t="shared" si="8"/>
        <v/>
      </c>
      <c r="G176" s="18"/>
      <c r="H176" s="18"/>
      <c r="I176" s="18"/>
      <c r="J176" s="18"/>
      <c r="K176" s="183"/>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Contratos</v>
      </c>
      <c r="C177" s="85" t="str" cm="1">
        <f t="array" ref="C177">IFERROR(INDEX('03.Muestra'!$F$8:$F$42,SMALL(IF("Página Web"='03.Muestra'!$D$8:$D$42,ROW('03.Muestra'!$F$8:$F$42)-MIN(ROW('03.Muestra'!$D$8:$D$42))+1,""),ROW()-170)),"")</f>
        <v>https://www.comunidad.madrid/transparencia/contratos</v>
      </c>
      <c r="D177" s="99" t="s">
        <v>93</v>
      </c>
      <c r="E177" s="79" t="str">
        <f t="shared" si="8"/>
        <v/>
      </c>
      <c r="F177" s="18"/>
      <c r="G177" s="18"/>
      <c r="H177" s="18"/>
      <c r="I177" s="18"/>
      <c r="J177" s="18"/>
      <c r="K177" s="183"/>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v>
      </c>
      <c r="C178" s="85" t="str" cm="1">
        <f t="array" ref="C178">IFERROR(INDEX('03.Muestra'!$F$8:$F$42,SMALL(IF("Página Web"='03.Muestra'!$D$8:$D$42,ROW('03.Muestra'!$F$8:$F$42)-MIN(ROW('03.Muestra'!$D$8:$D$42))+1,""),ROW()-170)),"")</f>
        <v>https://www.comunidad.madrid/transparencia/normativa-planificacion/consulta-publica</v>
      </c>
      <c r="D178" s="99" t="s">
        <v>93</v>
      </c>
      <c r="E178" s="79" t="str">
        <f t="shared" si="8"/>
        <v/>
      </c>
      <c r="F178" s="18"/>
      <c r="G178" s="18"/>
      <c r="H178" s="18"/>
      <c r="I178" s="18"/>
      <c r="J178" s="18"/>
      <c r="K178" s="183"/>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Proyecto</v>
      </c>
      <c r="C179" s="85" t="str" cm="1">
        <f t="array" ref="C179">IFERROR(INDEX('03.Muestra'!$F$8:$F$42,SMALL(IF("Página Web"='03.Muestra'!$D$8:$D$42,ROW('03.Muestra'!$F$8:$F$42)-MIN(ROW('03.Muestra'!$D$8:$D$42))+1,""),ROW()-170)),"")</f>
        <v>https://www.comunidad.madrid/transparencia/proyecto-orden-que-se-crea-comision-farmacia-y-productos-sanitarios-cm-y-se-establece-su-composicion</v>
      </c>
      <c r="D179" s="99" t="s">
        <v>93</v>
      </c>
      <c r="E179" s="79" t="str">
        <f t="shared" si="8"/>
        <v/>
      </c>
      <c r="F179" s="18"/>
      <c r="G179" s="18"/>
      <c r="H179" s="18"/>
      <c r="I179" s="18"/>
      <c r="J179" s="18"/>
      <c r="K179" s="183"/>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Planes y Programas</v>
      </c>
      <c r="C180" s="85" t="str" cm="1">
        <f t="array" ref="C180">IFERROR(INDEX('03.Muestra'!$F$8:$F$42,SMALL(IF("Página Web"='03.Muestra'!$D$8:$D$42,ROW('03.Muestra'!$F$8:$F$42)-MIN(ROW('03.Muestra'!$D$8:$D$42))+1,""),ROW()-170)),"")</f>
        <v>https://www.comunidad.madrid/transparencia/normativa-planificacion/planes-programas</v>
      </c>
      <c r="D180" s="99" t="s">
        <v>93</v>
      </c>
      <c r="E180" s="79" t="str">
        <f t="shared" si="8"/>
        <v/>
      </c>
      <c r="F180" s="18"/>
      <c r="G180" s="18"/>
      <c r="H180" s="18"/>
      <c r="I180" s="18"/>
      <c r="J180" s="18"/>
      <c r="K180" s="183"/>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Estrategia</v>
      </c>
      <c r="C181" s="85" t="str" cm="1">
        <f t="array" ref="C181">IFERROR(INDEX('03.Muestra'!$F$8:$F$42,SMALL(IF("Página Web"='03.Muestra'!$D$8:$D$42,ROW('03.Muestra'!$F$8:$F$42)-MIN(ROW('03.Muestra'!$D$8:$D$42))+1,""),ROW()-170)),"")</f>
        <v>https://www.comunidad.madrid/transparencia/informacion-institucional/planes-programas/estrategia-seguridad-del-paciente-del-servicio-madrileno</v>
      </c>
      <c r="D181" s="99" t="s">
        <v>93</v>
      </c>
      <c r="E181" s="79" t="str">
        <f t="shared" si="8"/>
        <v/>
      </c>
      <c r="F181" s="18"/>
      <c r="G181" s="18"/>
      <c r="H181" s="18"/>
      <c r="I181" s="18"/>
      <c r="J181" s="18"/>
      <c r="K181" s="183"/>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Huella</v>
      </c>
      <c r="C182" s="85" t="str" cm="1">
        <f t="array" ref="C182">IFERROR(INDEX('03.Muestra'!$F$8:$F$42,SMALL(IF("Página Web"='03.Muestra'!$D$8:$D$42,ROW('03.Muestra'!$F$8:$F$42)-MIN(ROW('03.Muestra'!$D$8:$D$42))+1,""),ROW()-170)),"")</f>
        <v>https://www.comunidad.madrid/transparencia/normativa-planificacion/huella-normativa</v>
      </c>
      <c r="D182" s="99" t="s">
        <v>93</v>
      </c>
      <c r="E182" s="79" t="str">
        <f t="shared" si="8"/>
        <v/>
      </c>
      <c r="F182" s="18"/>
      <c r="G182" s="18"/>
      <c r="H182" s="18"/>
      <c r="I182" s="18"/>
      <c r="J182" s="18"/>
      <c r="K182" s="183"/>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Decreto</v>
      </c>
      <c r="C183" s="85" t="str" cm="1">
        <f t="array" ref="C183">IFERROR(INDEX('03.Muestra'!$F$8:$F$42,SMALL(IF("Página Web"='03.Muestra'!$D$8:$D$42,ROW('03.Muestra'!$F$8:$F$42)-MIN(ROW('03.Muestra'!$D$8:$D$42))+1,""),ROW()-170)),"")</f>
        <v>https://www.comunidad.madrid/transparencia/decreto-del-consejo-gobierno-que-se-establece-estructura-organica-consejeria-familia-juventud-y</v>
      </c>
      <c r="D183" s="99" t="s">
        <v>93</v>
      </c>
      <c r="E183" s="79" t="str">
        <f t="shared" si="8"/>
        <v/>
      </c>
      <c r="F183" s="18"/>
      <c r="G183" s="18"/>
      <c r="H183" s="18"/>
      <c r="I183" s="18"/>
      <c r="J183" s="18"/>
      <c r="K183" s="183"/>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Entidades Locales</v>
      </c>
      <c r="C184" s="85" t="str" cm="1">
        <f t="array" ref="C184">IFERROR(INDEX('03.Muestra'!$F$8:$F$42,SMALL(IF("Página Web"='03.Muestra'!$D$8:$D$42,ROW('03.Muestra'!$F$8:$F$42)-MIN(ROW('03.Muestra'!$D$8:$D$42))+1,""),ROW()-170)),"")</f>
        <v>https://www.comunidad.madrid/transparencia/entidades-locales</v>
      </c>
      <c r="D184" s="99" t="s">
        <v>93</v>
      </c>
      <c r="E184" s="79" t="str">
        <f t="shared" si="8"/>
        <v/>
      </c>
      <c r="F184" s="18"/>
      <c r="G184" s="18"/>
      <c r="H184" s="18"/>
      <c r="I184" s="18"/>
      <c r="J184" s="18"/>
      <c r="K184" s="183"/>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3"/>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3"/>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3"/>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3"/>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3"/>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3"/>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3"/>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3"/>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3"/>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3"/>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3"/>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3"/>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3"/>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3"/>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3"/>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3"/>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3"/>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3"/>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3"/>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3"/>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3"/>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3"/>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3"/>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3"/>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3"/>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3"/>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3"/>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3"/>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3"/>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3"/>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3"/>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3"/>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3"/>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3"/>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3"/>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3"/>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3"/>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3"/>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3"/>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3"/>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3"/>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3"/>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3"/>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3"/>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3"/>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3"/>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3"/>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3"/>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3"/>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3"/>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3"/>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3"/>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3"/>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3"/>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3"/>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3"/>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3"/>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3"/>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3"/>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3"/>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3"/>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3"/>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3"/>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3"/>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3"/>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3"/>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3"/>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3"/>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3"/>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3"/>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3"/>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3"/>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3"/>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3"/>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3"/>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3"/>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3"/>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3"/>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3"/>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3"/>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3"/>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3"/>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3"/>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3"/>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3"/>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3"/>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3"/>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3"/>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3"/>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3"/>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3"/>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3"/>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3"/>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3"/>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3"/>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3"/>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3"/>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3"/>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3"/>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3"/>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3"/>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3"/>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3"/>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3"/>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3"/>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3"/>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3"/>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3"/>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3"/>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3"/>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3"/>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3"/>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3"/>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3"/>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3"/>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3"/>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3"/>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3"/>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3"/>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3"/>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3"/>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3"/>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3"/>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3"/>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3"/>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3"/>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3"/>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3"/>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3"/>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3"/>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3"/>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3"/>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3"/>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3"/>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3"/>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3"/>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3"/>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3"/>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3"/>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3"/>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3"/>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3"/>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3"/>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3"/>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3"/>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3"/>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3"/>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3"/>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3"/>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3"/>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3"/>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3"/>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3"/>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3"/>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3"/>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3"/>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3"/>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3"/>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3"/>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3"/>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3"/>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3"/>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3"/>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3"/>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3"/>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3"/>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3"/>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3"/>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3"/>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3"/>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3"/>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3"/>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3"/>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3"/>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3"/>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3"/>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3"/>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3"/>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3"/>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3"/>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3"/>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3"/>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3"/>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3"/>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3"/>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3"/>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3"/>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3"/>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3"/>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3"/>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3"/>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3"/>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3"/>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3"/>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3"/>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3"/>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3"/>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3"/>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3"/>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3"/>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3"/>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3"/>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3"/>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3"/>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3"/>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3"/>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3"/>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3"/>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3"/>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3"/>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3"/>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3"/>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3"/>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3"/>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3"/>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3"/>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3"/>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3"/>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3"/>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3"/>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3"/>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3"/>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3"/>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3"/>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3"/>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3"/>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3"/>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3"/>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3"/>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3"/>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3"/>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3"/>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3"/>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3"/>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3"/>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3"/>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3"/>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3"/>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3"/>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3"/>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3"/>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3"/>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3"/>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D19:D53 D57:D91 D95:D129 D133:D167 D171:D205 F19:J19 F57:J57 F95:J95 F133:J133 F171:J171">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2" zoomScale="70" zoomScaleNormal="70" workbookViewId="0">
      <selection activeCell="N2" sqref="N2"/>
    </sheetView>
  </sheetViews>
  <sheetFormatPr baseColWidth="10" defaultColWidth="11.54296875" defaultRowHeight="12.5"/>
  <cols>
    <col min="1" max="1" width="3.08984375" style="14" customWidth="1"/>
    <col min="2" max="2" width="9.08984375" style="84" customWidth="1"/>
    <col min="3" max="3" width="18.54296875" style="27" customWidth="1"/>
    <col min="4" max="4" width="59.36328125" style="14" customWidth="1"/>
    <col min="5" max="29" width="16.453125" style="14" customWidth="1"/>
    <col min="30" max="106" width="19.54296875" style="14" customWidth="1"/>
    <col min="107" max="16384" width="11.54296875" style="14"/>
  </cols>
  <sheetData>
    <row r="1" spans="2:65" ht="12.75" customHeight="1">
      <c r="B1" s="135"/>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5"/>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5"/>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5"/>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251</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6"/>
      <c r="C6" s="48"/>
      <c r="D6" s="48"/>
      <c r="E6" s="48"/>
      <c r="F6" s="48"/>
      <c r="G6" s="48"/>
      <c r="H6" s="48"/>
      <c r="I6" s="48"/>
      <c r="J6" s="48"/>
      <c r="K6" s="244" t="s">
        <v>252</v>
      </c>
      <c r="L6" s="244"/>
      <c r="M6" s="244"/>
      <c r="N6" s="48"/>
      <c r="O6" s="244" t="s">
        <v>253</v>
      </c>
      <c r="P6" s="244"/>
      <c r="Q6" s="244"/>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45" t="s">
        <v>85</v>
      </c>
      <c r="D7" s="246"/>
      <c r="E7" s="204" t="s">
        <v>254</v>
      </c>
      <c r="F7" s="204" t="s">
        <v>255</v>
      </c>
      <c r="G7" s="204" t="s">
        <v>96</v>
      </c>
      <c r="H7" s="204" t="s">
        <v>256</v>
      </c>
      <c r="I7" s="196" t="s">
        <v>257</v>
      </c>
      <c r="J7" s="185" t="s">
        <v>258</v>
      </c>
      <c r="K7" s="205" t="s">
        <v>259</v>
      </c>
      <c r="L7" s="105" t="s">
        <v>260</v>
      </c>
      <c r="M7" s="206" t="s">
        <v>88</v>
      </c>
      <c r="O7" s="205" t="s">
        <v>259</v>
      </c>
      <c r="P7" s="105" t="s">
        <v>260</v>
      </c>
      <c r="Q7" s="206" t="s">
        <v>88</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47" t="s">
        <v>261</v>
      </c>
      <c r="D8" s="248"/>
      <c r="E8" s="38" t="str">
        <f ca="1">CONCATENATE(COUNTIF(E55:CR55,"CONFORME")," (",ROUND(COUNTIF(E55:CR55,"CONFORME")*100/COUNTA($E$19:CR$19),2)," %)")</f>
        <v>21 (22,83 %)</v>
      </c>
      <c r="F8" s="38" t="str">
        <f ca="1">CONCATENATE(COUNTIF(E55:CR55,"NO CONFORME")," (",ROUND(COUNTIF(E55:CR55,"NO CONFORME")*100/COUNTA($E$19:CR$19),2)," %)")</f>
        <v>13 (14,13 %)</v>
      </c>
      <c r="G8" s="39" t="str">
        <f ca="1">CONCATENATE(COUNTIF(E55:CR55,"N/A")," (",ROUND(COUNTIF(E55:CR55,"N/A")*100/COUNTA($E$19:CR$19),2)," %)")</f>
        <v>58 (63,04 %)</v>
      </c>
      <c r="H8" s="39">
        <f ca="1">COUNTIF(E55:CR55,"ERROR")</f>
        <v>0</v>
      </c>
      <c r="I8" s="40">
        <f ca="1">COUNTIF(E55:CR55,"EN CURSO")</f>
        <v>0</v>
      </c>
      <c r="J8" s="186">
        <f ca="1">SUM(VALUE(LEFT(E8,SEARCH(" ",E8)-1)),VALUE(LEFT(F8,SEARCH(" ",F8)-1)))</f>
        <v>34</v>
      </c>
      <c r="K8" s="41" t="s">
        <v>262</v>
      </c>
      <c r="L8" s="38">
        <f ca="1">COUNTIF( $E$20:INDIRECT("$CR$" &amp;  SUM(19,COUNTIFS(B20:B54,"&lt;&gt;"))),"Pasa")+ COUNTIF($E$61:INDIRECT("$AW$" &amp;  SUM(60,COUNTIFS(B61:B95,"&lt;&gt;"))),"Pasa")</f>
        <v>321</v>
      </c>
      <c r="M8" s="42">
        <f ca="1">IF(($L$11+$P$11)=0,0,L8/($L$11+$P$11))</f>
        <v>0.24922360248447206</v>
      </c>
      <c r="N8" s="26"/>
      <c r="O8" s="41" t="s">
        <v>92</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0"/>
      <c r="C9" s="253" t="s">
        <v>263</v>
      </c>
      <c r="D9" s="254"/>
      <c r="E9" s="139" t="str">
        <f ca="1">CONCATENATE(COUNTIF(E96:AW96,"CONFORME")," (",ROUND(COUNTIF(E96:AW96,"CONFORME")*100/COUNTA($E$60:AW$60),2)," %)")</f>
        <v>0 (0 %)</v>
      </c>
      <c r="F9" s="139" t="str">
        <f ca="1">CONCATENATE(COUNTIF(E96:AW96,"NO CONFORME")," (",ROUND(COUNTIF(E96:AW96,"NO CONFORME")*100/COUNTA($E$60:AW$60),2)," %)")</f>
        <v>0 (0 %)</v>
      </c>
      <c r="G9" s="188" t="str">
        <f ca="1">CONCATENATE(COUNTIF(E96:AW96,"N/A")," (",ROUND(COUNTIF(E96:AW96,"N/A")*100/COUNTA($E$60:AW$60),2)," %)")</f>
        <v>45 (100 %)</v>
      </c>
      <c r="H9" s="188">
        <f ca="1">COUNTIF(E96:AW96,"ERROR")</f>
        <v>0</v>
      </c>
      <c r="I9" s="189">
        <f ca="1">COUNTIF(E96:AW96,"EN CURSO")</f>
        <v>0</v>
      </c>
      <c r="J9" s="186">
        <f ca="1">SUM(VALUE(LEFT(E9,SEARCH(" ",E9)-1)),VALUE(LEFT(F9,SEARCH(" ",F9)-1)))</f>
        <v>0</v>
      </c>
      <c r="K9" s="41" t="s">
        <v>93</v>
      </c>
      <c r="L9" s="38">
        <f ca="1">COUNTIF( $E$20:INDIRECT("$CR$" &amp;  SUM(19,COUNTIFS(B20:B54,"&lt;&gt;"))),"Falla")+ COUNTIF($E$61:INDIRECT("$AW$" &amp;  SUM(60,COUNTIFS(B61:B95,"&lt;&gt;"))),"Falla")</f>
        <v>155</v>
      </c>
      <c r="M9" s="42">
        <f ca="1">IF(($L$11+$P$11)=0,0,L9/($L$11+$P$11))</f>
        <v>0.1203416149068323</v>
      </c>
      <c r="N9" s="26"/>
      <c r="O9" s="41" t="s">
        <v>94</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58" t="s">
        <v>264</v>
      </c>
      <c r="D10" s="259"/>
      <c r="E10" s="191" t="str">
        <f ca="1">CONCATENATE(ROUND(E11/137*100,2)," %")</f>
        <v>15,33 %</v>
      </c>
      <c r="F10" s="191" t="str">
        <f ca="1">CONCATENATE(ROUND(F11/137*100,2)," %")</f>
        <v>9,49 %</v>
      </c>
      <c r="G10" s="191" t="str">
        <f ca="1">CONCATENATE(ROUND(G11/137*100,2)," %")</f>
        <v>75,18 %</v>
      </c>
      <c r="H10" s="191" t="str">
        <f ca="1">CONCATENATE(ROUND(H11/137*100,2)," %")</f>
        <v>0 %</v>
      </c>
      <c r="I10" s="193" t="str">
        <f ca="1">CONCATENATE(ROUND(I11/137*100,2)," %")</f>
        <v>0 %</v>
      </c>
      <c r="J10" s="194"/>
      <c r="K10" s="41" t="s">
        <v>96</v>
      </c>
      <c r="L10" s="38">
        <f ca="1">COUNTIF( $E$20:INDIRECT("$CR$" &amp;  SUM(19,COUNTIFS(B20:B54,"&lt;&gt;"))),"N/A")+COUNTIF($E$61:INDIRECT("$AW$" &amp;  SUM(60,COUNTIFS(B61:B95,"&lt;&gt;"))),"N/A")</f>
        <v>812</v>
      </c>
      <c r="M10" s="42">
        <f ca="1">IF(($L$11+$P$11)=0,0,L10/($L$11+$P$11))</f>
        <v>0.63043478260869568</v>
      </c>
      <c r="N10" s="26"/>
      <c r="O10" s="138" t="s">
        <v>97</v>
      </c>
      <c r="P10" s="139">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52"/>
      <c r="D11" s="252"/>
      <c r="E11" s="192">
        <f ca="1">SUM(VALUE(LEFT(E8,SEARCH(" ",E8)-1)),VALUE(LEFT(E9,SEARCH(" ",E9)-1)))</f>
        <v>21</v>
      </c>
      <c r="F11" s="192">
        <f ca="1">SUM(VALUE(LEFT(F8,SEARCH(" ",F8)-1)),VALUE(LEFT(F9,SEARCH(" ",F9)-1)))</f>
        <v>13</v>
      </c>
      <c r="G11" s="192">
        <f ca="1">SUM(VALUE(LEFT(G8,SEARCH(" ",G8)-1)),VALUE(LEFT(G9,SEARCH(" ",G9)-1)))</f>
        <v>103</v>
      </c>
      <c r="H11" s="192">
        <f ca="1">SUM(H8:H9)</f>
        <v>0</v>
      </c>
      <c r="I11" s="192">
        <f ca="1">SUM(I8:I9)</f>
        <v>0</v>
      </c>
      <c r="K11" s="43" t="s">
        <v>265</v>
      </c>
      <c r="L11" s="202">
        <f ca="1">SUM(L8:L10)</f>
        <v>1288</v>
      </c>
      <c r="M11" s="203">
        <f ca="1">SUM(M8:M10)</f>
        <v>1</v>
      </c>
      <c r="N11" s="26"/>
      <c r="O11" s="43" t="s">
        <v>265</v>
      </c>
      <c r="P11" s="202">
        <f ca="1">SUM(P8:P10)</f>
        <v>0</v>
      </c>
      <c r="Q11" s="203">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5"/>
      <c r="C13" s="135"/>
      <c r="D13" s="137" t="s">
        <v>266</v>
      </c>
      <c r="E13" s="18"/>
      <c r="F13" s="255" t="s">
        <v>267</v>
      </c>
      <c r="G13" s="256"/>
      <c r="H13" s="256"/>
      <c r="I13" s="257"/>
      <c r="J13" s="18"/>
      <c r="K13" s="255" t="s">
        <v>268</v>
      </c>
      <c r="L13" s="257"/>
      <c r="M13" s="18"/>
      <c r="N13" s="18"/>
      <c r="O13" s="18"/>
      <c r="P13" s="18"/>
      <c r="Q13" s="18"/>
      <c r="R13" s="18"/>
      <c r="S13" s="18"/>
      <c r="T13" s="18"/>
      <c r="U13" s="18"/>
      <c r="V13" s="18"/>
      <c r="W13" s="18"/>
      <c r="X13" s="18"/>
      <c r="Y13" s="18"/>
      <c r="Z13" s="18"/>
      <c r="AA13" s="18"/>
    </row>
    <row r="14" spans="2:65" ht="23.75" customHeight="1" thickBot="1">
      <c r="B14" s="135"/>
      <c r="C14" s="18"/>
      <c r="D14" s="164" t="str">
        <f ca="1">IF(COUNTIF('03.Muestra'!D8:D42,"Página Web")=0,"",IF(H11&gt;0,"Evaluación con errores",IF(OR(I11&gt;0,P11&gt;0),"Evaluación en curso",IF(F11=0,"Plenamente Conforme",IF(F11&gt;=(E11+F11)*'DATA - Oculta'!$C$26,"No Conforme","Parcialmente Conforme")))))</f>
        <v>Parcialmente Conforme</v>
      </c>
      <c r="F14" s="249">
        <f ca="1">IF(AND(D14&lt;&gt;"Evaluación en curso",D14&lt;&gt;"Evaluación con errores",D14&lt;&gt;""), IF(J8=0,"", ROUND(((COUNT(B20:B54)/(COUNT(B20:B54)+COUNT(B61:B95)))*IF(J8=0,0,LEFT(E8,SEARCH(" ",E8)-1)/J8)+(COUNT(B61:B95)/(COUNT(B20:B54)+COUNT(B61:B95)))*IF(J9=0,0,LEFT(E9,SEARCH(" ",E9)-1)/J9))*10,2)),"")</f>
        <v>6.18</v>
      </c>
      <c r="G14" s="250"/>
      <c r="H14" s="250"/>
      <c r="I14" s="251"/>
      <c r="J14" s="18"/>
      <c r="K14" s="249" t="str">
        <f>'03.Muestra'!D52</f>
        <v>SI</v>
      </c>
      <c r="L14" s="251"/>
      <c r="M14" s="18"/>
      <c r="N14" s="18"/>
      <c r="O14" s="18"/>
      <c r="P14" s="18"/>
      <c r="Q14" s="18"/>
      <c r="R14" s="18"/>
      <c r="S14" s="18"/>
      <c r="T14" s="18"/>
      <c r="U14" s="18"/>
      <c r="V14" s="18"/>
      <c r="W14" s="18"/>
      <c r="X14" s="18"/>
      <c r="Y14" s="18"/>
      <c r="Z14" s="18"/>
      <c r="AA14" s="18"/>
    </row>
    <row r="15" spans="2:65" ht="12.15" customHeight="1" thickTop="1">
      <c r="B15" s="135"/>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5"/>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40" t="s">
        <v>261</v>
      </c>
      <c r="C17" s="241"/>
      <c r="D17" s="242"/>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7" t="s">
        <v>269</v>
      </c>
      <c r="C18" s="238"/>
      <c r="D18" s="239"/>
      <c r="E18" s="125"/>
      <c r="F18" s="125"/>
      <c r="G18" s="125"/>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c r="CA18" s="127"/>
      <c r="CB18" s="127"/>
      <c r="CC18" s="127"/>
      <c r="CD18" s="127"/>
      <c r="CE18" s="127"/>
      <c r="CF18" s="127"/>
      <c r="CG18" s="127"/>
      <c r="CH18" s="69"/>
      <c r="CI18" s="69"/>
      <c r="CJ18" s="69"/>
      <c r="CK18" s="69"/>
      <c r="CL18" s="69"/>
      <c r="CM18" s="69"/>
      <c r="CN18" s="129"/>
      <c r="CO18" s="129"/>
      <c r="CP18" s="129"/>
      <c r="CQ18" s="129"/>
      <c r="CR18" s="129"/>
    </row>
    <row r="19" spans="2:100" ht="21.75" customHeight="1">
      <c r="B19" s="72" t="s">
        <v>98</v>
      </c>
      <c r="C19" s="72" t="s">
        <v>270</v>
      </c>
      <c r="D19" s="72" t="s">
        <v>271</v>
      </c>
      <c r="E19" s="72" t="s">
        <v>272</v>
      </c>
      <c r="F19" s="72" t="s">
        <v>273</v>
      </c>
      <c r="G19" s="72" t="s">
        <v>274</v>
      </c>
      <c r="H19" s="72" t="s">
        <v>275</v>
      </c>
      <c r="I19" s="72" t="s">
        <v>276</v>
      </c>
      <c r="J19" s="72" t="s">
        <v>277</v>
      </c>
      <c r="K19" s="72" t="s">
        <v>278</v>
      </c>
      <c r="L19" s="72" t="s">
        <v>279</v>
      </c>
      <c r="M19" s="72" t="s">
        <v>280</v>
      </c>
      <c r="N19" s="72" t="s">
        <v>281</v>
      </c>
      <c r="O19" s="72" t="s">
        <v>282</v>
      </c>
      <c r="P19" s="72" t="s">
        <v>283</v>
      </c>
      <c r="Q19" s="72" t="s">
        <v>284</v>
      </c>
      <c r="R19" s="72" t="s">
        <v>285</v>
      </c>
      <c r="S19" s="72" t="s">
        <v>286</v>
      </c>
      <c r="T19" s="72" t="s">
        <v>287</v>
      </c>
      <c r="U19" s="72" t="s">
        <v>288</v>
      </c>
      <c r="V19" s="72" t="s">
        <v>289</v>
      </c>
      <c r="W19" s="72" t="s">
        <v>290</v>
      </c>
      <c r="X19" s="72" t="s">
        <v>291</v>
      </c>
      <c r="Y19" s="72" t="s">
        <v>292</v>
      </c>
      <c r="Z19" s="72" t="s">
        <v>293</v>
      </c>
      <c r="AA19" s="72" t="s">
        <v>294</v>
      </c>
      <c r="AB19" s="72" t="s">
        <v>295</v>
      </c>
      <c r="AC19" s="72" t="s">
        <v>296</v>
      </c>
      <c r="AD19" s="72" t="s">
        <v>297</v>
      </c>
      <c r="AE19" s="72" t="s">
        <v>298</v>
      </c>
      <c r="AF19" s="72" t="s">
        <v>299</v>
      </c>
      <c r="AG19" s="72" t="s">
        <v>300</v>
      </c>
      <c r="AH19" s="72" t="s">
        <v>301</v>
      </c>
      <c r="AI19" s="72" t="s">
        <v>302</v>
      </c>
      <c r="AJ19" s="72" t="s">
        <v>303</v>
      </c>
      <c r="AK19" s="72" t="s">
        <v>304</v>
      </c>
      <c r="AL19" s="72" t="s">
        <v>305</v>
      </c>
      <c r="AM19" s="72" t="s">
        <v>306</v>
      </c>
      <c r="AN19" s="72" t="s">
        <v>307</v>
      </c>
      <c r="AO19" s="72" t="s">
        <v>308</v>
      </c>
      <c r="AP19" s="72" t="s">
        <v>309</v>
      </c>
      <c r="AQ19" s="72" t="s">
        <v>310</v>
      </c>
      <c r="AR19" s="72" t="s">
        <v>311</v>
      </c>
      <c r="AS19" s="72" t="s">
        <v>312</v>
      </c>
      <c r="AT19" s="72" t="s">
        <v>313</v>
      </c>
      <c r="AU19" s="72" t="s">
        <v>314</v>
      </c>
      <c r="AV19" s="72" t="s">
        <v>315</v>
      </c>
      <c r="AW19" s="72" t="s">
        <v>316</v>
      </c>
      <c r="AX19" s="72" t="s">
        <v>317</v>
      </c>
      <c r="AY19" s="72" t="s">
        <v>318</v>
      </c>
      <c r="AZ19" s="72" t="s">
        <v>319</v>
      </c>
      <c r="BA19" s="72" t="s">
        <v>320</v>
      </c>
      <c r="BB19" s="72" t="s">
        <v>321</v>
      </c>
      <c r="BC19" s="72" t="s">
        <v>322</v>
      </c>
      <c r="BD19" s="72" t="s">
        <v>323</v>
      </c>
      <c r="BE19" s="72" t="s">
        <v>324</v>
      </c>
      <c r="BF19" s="72" t="s">
        <v>325</v>
      </c>
      <c r="BG19" s="72" t="s">
        <v>326</v>
      </c>
      <c r="BH19" s="72" t="s">
        <v>327</v>
      </c>
      <c r="BI19" s="72" t="s">
        <v>328</v>
      </c>
      <c r="BJ19" s="72" t="s">
        <v>329</v>
      </c>
      <c r="BK19" s="72" t="s">
        <v>330</v>
      </c>
      <c r="BL19" s="72" t="s">
        <v>331</v>
      </c>
      <c r="BM19" s="72" t="s">
        <v>332</v>
      </c>
      <c r="BN19" s="72" t="s">
        <v>333</v>
      </c>
      <c r="BO19" s="72" t="s">
        <v>334</v>
      </c>
      <c r="BP19" s="72" t="s">
        <v>335</v>
      </c>
      <c r="BQ19" s="72" t="s">
        <v>336</v>
      </c>
      <c r="BR19" s="72" t="s">
        <v>337</v>
      </c>
      <c r="BS19" s="72" t="s">
        <v>338</v>
      </c>
      <c r="BT19" s="72" t="s">
        <v>339</v>
      </c>
      <c r="BU19" s="72" t="s">
        <v>340</v>
      </c>
      <c r="BV19" s="72" t="s">
        <v>341</v>
      </c>
      <c r="BW19" s="72" t="s">
        <v>342</v>
      </c>
      <c r="BX19" s="72" t="s">
        <v>343</v>
      </c>
      <c r="BY19" s="72" t="s">
        <v>344</v>
      </c>
      <c r="BZ19" s="72" t="s">
        <v>345</v>
      </c>
      <c r="CA19" s="72" t="s">
        <v>346</v>
      </c>
      <c r="CB19" s="72" t="s">
        <v>347</v>
      </c>
      <c r="CC19" s="72" t="s">
        <v>348</v>
      </c>
      <c r="CD19" s="72" t="s">
        <v>349</v>
      </c>
      <c r="CE19" s="72" t="s">
        <v>350</v>
      </c>
      <c r="CF19" s="72" t="s">
        <v>351</v>
      </c>
      <c r="CG19" s="72" t="s">
        <v>352</v>
      </c>
      <c r="CH19" s="72" t="s">
        <v>353</v>
      </c>
      <c r="CI19" s="72" t="s">
        <v>354</v>
      </c>
      <c r="CJ19" s="72" t="s">
        <v>355</v>
      </c>
      <c r="CK19" s="72" t="s">
        <v>356</v>
      </c>
      <c r="CL19" s="72" t="s">
        <v>357</v>
      </c>
      <c r="CM19" s="72" t="s">
        <v>358</v>
      </c>
      <c r="CN19" s="72" t="s">
        <v>359</v>
      </c>
      <c r="CO19" s="72" t="s">
        <v>360</v>
      </c>
      <c r="CP19" s="72" t="s">
        <v>361</v>
      </c>
      <c r="CQ19" s="72" t="s">
        <v>362</v>
      </c>
      <c r="CR19" s="72" t="s">
        <v>363</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https://www.comunidad.madrid/transparencia/</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N/A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Falla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N/A</v>
      </c>
      <c r="BJ20" s="75" t="str" cm="1">
        <f t="array" aca="1" ref="BJ20" ca="1">IF($B20="","",IF(ISBLANK(INDIRECT("R9.Web!D"&amp;SUM(18,38*26,1))),"",INDIRECT("R9.Web!D"&amp;SUM(18,38*26,1))))</f>
        <v>Pasa</v>
      </c>
      <c r="BK20" s="75" t="str" cm="1">
        <f t="array" aca="1" ref="BK20" ca="1">IF($B20="","",IF(ISBLANK(INDIRECT("R9.Web!D"&amp;SUM(18,38*27,1))),"",INDIRECT("R9.Web!D"&amp;SUM(18,38*27,1))))</f>
        <v>Pasa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Pasa</v>
      </c>
      <c r="BP20" s="75" t="str" cm="1">
        <f t="array" aca="1" ref="BP20" ca="1">IF($B20="","",IF(ISBLANK(INDIRECT("R9.Web!D"&amp;SUM(18,38*32,1))),"",INDIRECT("R9.Web!D"&amp;SUM(18,38*32,1))))</f>
        <v>N/A</v>
      </c>
      <c r="BQ20" s="75" t="str" cm="1">
        <f t="array" aca="1" ref="BQ20" ca="1">IF($B20="","",IF(ISBLANK(INDIRECT("R9.Web!D"&amp;SUM(18,38*33,1))),"",INDIRECT("R9.Web!D"&amp;SUM(18,38*33,1))))</f>
        <v>N/A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Falla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Falla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Falla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Falla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Aviso legal</v>
      </c>
      <c r="D21" s="74" t="str" cm="1">
        <f t="array" ref="D21">IFERROR(INDEX('03.Muestra'!$F$8:$F$42,SMALL(IF("Página Web"='03.Muestra'!$D$8:$D$42,ROW('03.Muestra'!$F$8:$F$42)-MIN(ROW('03.Muestra'!$D$8:$D$42))+1,""),ROW()-19)),"")</f>
        <v>https://www.comunidad.madrid/transparencia/aviso-legal</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N/A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Falla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N/A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N/A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Falla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Falla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Accesibilidad</v>
      </c>
      <c r="D22" s="74" t="str" cm="1">
        <f t="array" ref="D22">IFERROR(INDEX('03.Muestra'!$F$8:$F$42,SMALL(IF("Página Web"='03.Muestra'!$D$8:$D$42,ROW('03.Muestra'!$F$8:$F$42)-MIN(ROW('03.Muestra'!$D$8:$D$42))+1,""),ROW()-19)),"")</f>
        <v>https://www.comunidad.madrid/transparencia/declaracion-accesibilidad</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Falla</v>
      </c>
      <c r="BC22" s="75" t="str" cm="1">
        <f t="array" aca="1" ref="BC22" ca="1">IF($B22="","",IF(ISBLANK(INDIRECT("R9.Web!D"&amp;SUM(18,38*19,3))),"",INDIRECT("R9.Web!D"&amp;SUM(18,38*19,3))))</f>
        <v>Pasa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N/A</v>
      </c>
      <c r="BJ22" s="75" t="str" cm="1">
        <f t="array" aca="1" ref="BJ22" ca="1">IF($B22="","",IF(ISBLANK(INDIRECT("R9.Web!D"&amp;SUM(18,38*26,3))),"",INDIRECT("R9.Web!D"&amp;SUM(18,38*26,3))))</f>
        <v>Pasa</v>
      </c>
      <c r="BK22" s="75" t="str" cm="1">
        <f t="array" aca="1" ref="BK22" ca="1">IF($B22="","",IF(ISBLANK(INDIRECT("R9.Web!D"&amp;SUM(18,38*27,3))),"",INDIRECT("R9.Web!D"&amp;SUM(18,38*27,3))))</f>
        <v>Pasa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Pasa</v>
      </c>
      <c r="BP22" s="75" t="str" cm="1">
        <f t="array" aca="1" ref="BP22" ca="1">IF($B22="","",IF(ISBLANK(INDIRECT("R9.Web!D"&amp;SUM(18,38*32,3))),"",INDIRECT("R9.Web!D"&amp;SUM(18,38*32,3))))</f>
        <v>N/A</v>
      </c>
      <c r="BQ22" s="75" t="str" cm="1">
        <f t="array" aca="1" ref="BQ22" ca="1">IF($B22="","",IF(ISBLANK(INDIRECT("R9.Web!D"&amp;SUM(18,38*33,3))),"",INDIRECT("R9.Web!D"&amp;SUM(18,38*33,3))))</f>
        <v>N/A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Falla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Falla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Falla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Tranparencia</v>
      </c>
      <c r="D23" s="74" t="str" cm="1">
        <f t="array" ref="D23">IFERROR(INDEX('03.Muestra'!$F$8:$F$42,SMALL(IF("Página Web"='03.Muestra'!$D$8:$D$42,ROW('03.Muestra'!$F$8:$F$42)-MIN(ROW('03.Muestra'!$D$8:$D$42))+1,""),ROW()-19)),"")</f>
        <v>https://www.comunidad.madrid/transparencia/que-es-transparencia</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Falla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N/A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N/A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Falla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Falla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Falla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Organización</v>
      </c>
      <c r="D24" s="74" t="str" cm="1">
        <f t="array" ref="D24">IFERROR(INDEX('03.Muestra'!$F$8:$F$42,SMALL(IF("Página Web"='03.Muestra'!$D$8:$D$42,ROW('03.Muestra'!$F$8:$F$42)-MIN(ROW('03.Muestra'!$D$8:$D$42))+1,""),ROW()-19)),"")</f>
        <v>https://www.comunidad.madrid/transparencia/organizacion-recursos/organizacion</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Falla</v>
      </c>
      <c r="BC24" s="75" t="str" cm="1">
        <f t="array" aca="1" ref="BC24" ca="1">IF($B24="","",IF(ISBLANK(INDIRECT("R9.Web!D"&amp;SUM(18,38*19,5))),"",INDIRECT("R9.Web!D"&amp;SUM(18,38*19,5))))</f>
        <v>Pasa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N/A</v>
      </c>
      <c r="BJ24" s="75" t="str" cm="1">
        <f t="array" aca="1" ref="BJ24" ca="1">IF($B24="","",IF(ISBLANK(INDIRECT("R9.Web!D"&amp;SUM(18,38*26,5))),"",INDIRECT("R9.Web!D"&amp;SUM(18,38*26,5))))</f>
        <v>Pasa</v>
      </c>
      <c r="BK24" s="75" t="str" cm="1">
        <f t="array" aca="1" ref="BK24" ca="1">IF($B24="","",IF(ISBLANK(INDIRECT("R9.Web!D"&amp;SUM(18,38*27,5))),"",INDIRECT("R9.Web!D"&amp;SUM(18,38*27,5))))</f>
        <v>Pasa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N/A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Falla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Falla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Falla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Quejas</v>
      </c>
      <c r="D25" s="74" t="str" cm="1">
        <f t="array" ref="D25">IFERROR(INDEX('03.Muestra'!$F$8:$F$42,SMALL(IF("Página Web"='03.Muestra'!$D$8:$D$42,ROW('03.Muestra'!$F$8:$F$42)-MIN(ROW('03.Muestra'!$D$8:$D$42))+1,""),ROW()-19)),"")</f>
        <v>https://www.comunidad.madrid/transparencia/quejas-y-reclamaciones</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N/A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Falla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N/A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N/A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Falla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Falla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Contratos</v>
      </c>
      <c r="D26" s="74" t="str" cm="1">
        <f t="array" ref="D26">IFERROR(INDEX('03.Muestra'!$F$8:$F$42,SMALL(IF("Página Web"='03.Muestra'!$D$8:$D$42,ROW('03.Muestra'!$F$8:$F$42)-MIN(ROW('03.Muestra'!$D$8:$D$42))+1,""),ROW()-19)),"")</f>
        <v>https://www.comunidad.madrid/transparencia/contratos</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N/A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Falla</v>
      </c>
      <c r="BC26" s="75" t="str" cm="1">
        <f t="array" aca="1" ref="BC26" ca="1">IF($B26="","",IF(ISBLANK(INDIRECT("R9.Web!D"&amp;SUM(18,38*19,7))),"",INDIRECT("R9.Web!D"&amp;SUM(18,38*19,7))))</f>
        <v>Pasa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N/A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N/A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Falla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Falla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Falla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Consulta</v>
      </c>
      <c r="D27" s="74" t="str" cm="1">
        <f t="array" ref="D27">IFERROR(INDEX('03.Muestra'!$F$8:$F$42,SMALL(IF("Página Web"='03.Muestra'!$D$8:$D$42,ROW('03.Muestra'!$F$8:$F$42)-MIN(ROW('03.Muestra'!$D$8:$D$42))+1,""),ROW()-19)),"")</f>
        <v>https://www.comunidad.madrid/transparencia/normativa-planificacion/consulta-publica</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N/A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Falla</v>
      </c>
      <c r="BC27" s="75" t="str" cm="1">
        <f t="array" aca="1" ref="BC27" ca="1">IF($B27="","",IF(ISBLANK(INDIRECT("R9.Web!D"&amp;SUM(18,38*19,8))),"",INDIRECT("R9.Web!D"&amp;SUM(18,38*19,8))))</f>
        <v>Pasa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N/A</v>
      </c>
      <c r="BJ27" s="75" t="str" cm="1">
        <f t="array" aca="1" ref="BJ27" ca="1">IF($B27="","",IF(ISBLANK(INDIRECT("R9.Web!D"&amp;SUM(18,38*26,8))),"",INDIRECT("R9.Web!D"&amp;SUM(18,38*26,8))))</f>
        <v>Pasa</v>
      </c>
      <c r="BK27" s="75" t="str" cm="1">
        <f t="array" aca="1" ref="BK27" ca="1">IF($B27="","",IF(ISBLANK(INDIRECT("R9.Web!D"&amp;SUM(18,38*27,8))),"",INDIRECT("R9.Web!D"&amp;SUM(18,38*27,8))))</f>
        <v>Pasa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Pasa</v>
      </c>
      <c r="BP27" s="75" t="str" cm="1">
        <f t="array" aca="1" ref="BP27" ca="1">IF($B27="","",IF(ISBLANK(INDIRECT("R9.Web!D"&amp;SUM(18,38*32,8))),"",INDIRECT("R9.Web!D"&amp;SUM(18,38*32,8))))</f>
        <v>N/A</v>
      </c>
      <c r="BQ27" s="75" t="str" cm="1">
        <f t="array" aca="1" ref="BQ27" ca="1">IF($B27="","",IF(ISBLANK(INDIRECT("R9.Web!D"&amp;SUM(18,38*33,8))),"",INDIRECT("R9.Web!D"&amp;SUM(18,38*33,8))))</f>
        <v>N/A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Falla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Falla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Falla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Falla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Proyecto</v>
      </c>
      <c r="D28" s="74" t="str" cm="1">
        <f t="array" ref="D28">IFERROR(INDEX('03.Muestra'!$F$8:$F$42,SMALL(IF("Página Web"='03.Muestra'!$D$8:$D$42,ROW('03.Muestra'!$F$8:$F$42)-MIN(ROW('03.Muestra'!$D$8:$D$42))+1,""),ROW()-19)),"")</f>
        <v>https://www.comunidad.madrid/transparencia/proyecto-orden-que-se-crea-comision-farmacia-y-productos-sanitarios-cm-y-se-establece-su-composicion</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N/A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Pasa</v>
      </c>
      <c r="BB28" s="75" t="str" cm="1">
        <f t="array" aca="1" ref="BB28" ca="1">IF($B28="","",IF(ISBLANK(INDIRECT("R9.Web!D"&amp;SUM(18,38*18,9))),"",INDIRECT("R9.Web!D"&amp;SUM(18,38*18,9))))</f>
        <v>Falla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N/A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N/A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Falla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Falla</v>
      </c>
      <c r="CU28" s="76"/>
    </row>
    <row r="29" spans="2:100" ht="20.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Planes y Programas</v>
      </c>
      <c r="D29" s="74" t="str" cm="1">
        <f t="array" ref="D29">IFERROR(INDEX('03.Muestra'!$F$8:$F$42,SMALL(IF("Página Web"='03.Muestra'!$D$8:$D$42,ROW('03.Muestra'!$F$8:$F$42)-MIN(ROW('03.Muestra'!$D$8:$D$42))+1,""),ROW()-19)),"")</f>
        <v>https://www.comunidad.madrid/transparencia/normativa-planificacion/planes-programas</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N/A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Falla</v>
      </c>
      <c r="BA29" s="75" t="str" cm="1">
        <f t="array" aca="1" ref="BA29" ca="1">IF($B29="","",IF(ISBLANK(INDIRECT("R9.Web!D"&amp;SUM(18,38*17,10))),"",INDIRECT("R9.Web!D"&amp;SUM(18,38*17,10))))</f>
        <v>Pasa</v>
      </c>
      <c r="BB29" s="75" t="str" cm="1">
        <f t="array" aca="1" ref="BB29" ca="1">IF($B29="","",IF(ISBLANK(INDIRECT("R9.Web!D"&amp;SUM(18,38*18,10))),"",INDIRECT("R9.Web!D"&amp;SUM(18,38*18,10))))</f>
        <v>Falla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N/A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N/A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Falla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Pasa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Falla</v>
      </c>
      <c r="CQ29" s="75" t="str" cm="1">
        <f t="array" aca="1" ref="CQ29" ca="1">IF($B29="","",IF(ISBLANK(INDIRECT("R12.ServiciosApoyo!D"&amp;SUM(18,38*3,10))),"",INDIRECT("R12.ServiciosApoyo!D"&amp;SUM(18,38*3,10))))</f>
        <v>Pasa</v>
      </c>
      <c r="CR29" s="75" t="str" cm="1">
        <f t="array" aca="1" ref="CR29" ca="1">IF($B29="","",IF(ISBLANK(INDIRECT("R12.ServiciosApoyo!D"&amp;SUM(18,38*4,10))),"",INDIRECT("R12.ServiciosApoyo!D"&amp;SUM(18,38*4,10))))</f>
        <v>Falla</v>
      </c>
      <c r="CU29" s="76"/>
    </row>
    <row r="30" spans="2:100" ht="20.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Estrategia</v>
      </c>
      <c r="D30" s="74" t="str" cm="1">
        <f t="array" ref="D30">IFERROR(INDEX('03.Muestra'!$F$8:$F$42,SMALL(IF("Página Web"='03.Muestra'!$D$8:$D$42,ROW('03.Muestra'!$F$8:$F$42)-MIN(ROW('03.Muestra'!$D$8:$D$42))+1,""),ROW()-19)),"")</f>
        <v>https://www.comunidad.madrid/transparencia/informacion-institucional/planes-programas/estrategia-seguridad-del-paciente-del-servicio-madrileno</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Falla</v>
      </c>
      <c r="AQ30" s="75" t="str" cm="1">
        <f t="array" aca="1" ref="AQ30" ca="1">IF($B30="","",IF(ISBLANK(INDIRECT("R9.Web!D"&amp;SUM(18,38*7,11))),"",INDIRECT("R9.Web!D"&amp;SUM(18,38*7,11))))</f>
        <v>Falla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N/A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Falla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Falla</v>
      </c>
      <c r="BA30" s="75" t="str" cm="1">
        <f t="array" aca="1" ref="BA30" ca="1">IF($B30="","",IF(ISBLANK(INDIRECT("R9.Web!D"&amp;SUM(18,38*17,11))),"",INDIRECT("R9.Web!D"&amp;SUM(18,38*17,11))))</f>
        <v>Pasa</v>
      </c>
      <c r="BB30" s="75" t="str" cm="1">
        <f t="array" aca="1" ref="BB30" ca="1">IF($B30="","",IF(ISBLANK(INDIRECT("R9.Web!D"&amp;SUM(18,38*18,11))),"",INDIRECT("R9.Web!D"&amp;SUM(18,38*18,11))))</f>
        <v>Falla</v>
      </c>
      <c r="BC30" s="75" t="str" cm="1">
        <f t="array" aca="1" ref="BC30" ca="1">IF($B30="","",IF(ISBLANK(INDIRECT("R9.Web!D"&amp;SUM(18,38*19,11))),"",INDIRECT("R9.Web!D"&amp;SUM(18,38*19,11))))</f>
        <v>Pasa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N/A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N/A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Pasa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N/A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Pasa</v>
      </c>
      <c r="CO30" s="75" t="str" cm="1">
        <f t="array" aca="1" ref="CO30" ca="1">IF($B30="","",IF(ISBLANK(INDIRECT("R12.ServiciosApoyo!D"&amp;SUM(18,38*1,11))),"",INDIRECT("R12.ServiciosApoyo!D"&amp;SUM(18,38*1,11))))</f>
        <v>Falla</v>
      </c>
      <c r="CP30" s="75" t="str" cm="1">
        <f t="array" aca="1" ref="CP30" ca="1">IF($B30="","",IF(ISBLANK(INDIRECT("R12.ServiciosApoyo!D"&amp;SUM(18,38*2,11))),"",INDIRECT("R12.ServiciosApoyo!D"&amp;SUM(18,38*2,11))))</f>
        <v>Falla</v>
      </c>
      <c r="CQ30" s="75" t="str" cm="1">
        <f t="array" aca="1" ref="CQ30" ca="1">IF($B30="","",IF(ISBLANK(INDIRECT("R12.ServiciosApoyo!D"&amp;SUM(18,38*3,11))),"",INDIRECT("R12.ServiciosApoyo!D"&amp;SUM(18,38*3,11))))</f>
        <v>Pasa</v>
      </c>
      <c r="CR30" s="75" t="str" cm="1">
        <f t="array" aca="1" ref="CR30" ca="1">IF($B30="","",IF(ISBLANK(INDIRECT("R12.ServiciosApoyo!D"&amp;SUM(18,38*4,11))),"",INDIRECT("R12.ServiciosApoyo!D"&amp;SUM(18,38*4,11))))</f>
        <v>Falla</v>
      </c>
      <c r="CU30" s="76"/>
      <c r="CV30" s="77"/>
    </row>
    <row r="31" spans="2:100" ht="20.5">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Huella</v>
      </c>
      <c r="D31" s="74" t="str" cm="1">
        <f t="array" ref="D31">IFERROR(INDEX('03.Muestra'!$F$8:$F$42,SMALL(IF("Página Web"='03.Muestra'!$D$8:$D$42,ROW('03.Muestra'!$F$8:$F$42)-MIN(ROW('03.Muestra'!$D$8:$D$42))+1,""),ROW()-19)),"")</f>
        <v>https://www.comunidad.madrid/transparencia/normativa-planificacion/huella-normativa</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Pasa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Pasa</v>
      </c>
      <c r="AP31" s="75" t="str" cm="1">
        <f t="array" aca="1" ref="AP31" ca="1">IF($B31="","",IF(ISBLANK(INDIRECT("R9.Web!D"&amp;SUM(18,38*6,12))),"",INDIRECT("R9.Web!D"&amp;SUM(18,38*6,12))))</f>
        <v>Falla</v>
      </c>
      <c r="AQ31" s="75" t="str" cm="1">
        <f t="array" aca="1" ref="AQ31" ca="1">IF($B31="","",IF(ISBLANK(INDIRECT("R9.Web!D"&amp;SUM(18,38*7,12))),"",INDIRECT("R9.Web!D"&amp;SUM(18,38*7,12))))</f>
        <v>Falla</v>
      </c>
      <c r="AR31" s="75" t="str" cm="1">
        <f t="array" aca="1" ref="AR31" ca="1">IF($B31="","",IF(ISBLANK(INDIRECT("R9.Web!D"&amp;SUM(18,38*8,12))),"",INDIRECT("R9.Web!D"&amp;SUM(18,38*8,12))))</f>
        <v>Pasa</v>
      </c>
      <c r="AS31" s="75" t="str" cm="1">
        <f t="array" aca="1" ref="AS31" ca="1">IF($B31="","",IF(ISBLANK(INDIRECT("R9.Web!D"&amp;SUM(18,38*9,12))),"",INDIRECT("R9.Web!D"&amp;SUM(18,38*9,12))))</f>
        <v>N/A</v>
      </c>
      <c r="AT31" s="75" t="str" cm="1">
        <f t="array" aca="1" ref="AT31" ca="1">IF($B31="","",IF(ISBLANK(INDIRECT("R9.Web!D"&amp;SUM(18,38*10,12))),"",INDIRECT("R9.Web!D"&amp;SUM(18,38*10,12))))</f>
        <v>N/A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Falla</v>
      </c>
      <c r="AX31" s="75" t="str" cm="1">
        <f t="array" aca="1" ref="AX31" ca="1">IF($B31="","",IF(ISBLANK(INDIRECT("R9.Web!D"&amp;SUM(18,38*14,12))),"",INDIRECT("R9.Web!D"&amp;SUM(18,38*14,12))))</f>
        <v>N/A</v>
      </c>
      <c r="AY31" s="75" t="str" cm="1">
        <f t="array" aca="1" ref="AY31" ca="1">IF($B31="","",IF(ISBLANK(INDIRECT("R9.Web!D"&amp;SUM(18,38*15,12))),"",INDIRECT("R9.Web!D"&amp;SUM(18,38*15,12))))</f>
        <v>Falla</v>
      </c>
      <c r="AZ31" s="75" t="str" cm="1">
        <f t="array" aca="1" ref="AZ31" ca="1">IF($B31="","",IF(ISBLANK(INDIRECT("R9.Web!D"&amp;SUM(18,38*16,12))),"",INDIRECT("R9.Web!D"&amp;SUM(18,38*16,12))))</f>
        <v>Falla</v>
      </c>
      <c r="BA31" s="75" t="str" cm="1">
        <f t="array" aca="1" ref="BA31" ca="1">IF($B31="","",IF(ISBLANK(INDIRECT("R9.Web!D"&amp;SUM(18,38*17,12))),"",INDIRECT("R9.Web!D"&amp;SUM(18,38*17,12))))</f>
        <v>Pasa</v>
      </c>
      <c r="BB31" s="75" t="str" cm="1">
        <f t="array" aca="1" ref="BB31" ca="1">IF($B31="","",IF(ISBLANK(INDIRECT("R9.Web!D"&amp;SUM(18,38*18,12))),"",INDIRECT("R9.Web!D"&amp;SUM(18,38*18,12))))</f>
        <v>Falla</v>
      </c>
      <c r="BC31" s="75" t="str" cm="1">
        <f t="array" aca="1" ref="BC31" ca="1">IF($B31="","",IF(ISBLANK(INDIRECT("R9.Web!D"&amp;SUM(18,38*19,12))),"",INDIRECT("R9.Web!D"&amp;SUM(18,38*19,12))))</f>
        <v>Pasa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N/A</v>
      </c>
      <c r="BJ31" s="75" t="str" cm="1">
        <f t="array" aca="1" ref="BJ31" ca="1">IF($B31="","",IF(ISBLANK(INDIRECT("R9.Web!D"&amp;SUM(18,38*26,12))),"",INDIRECT("R9.Web!D"&amp;SUM(18,38*26,12))))</f>
        <v>Pasa</v>
      </c>
      <c r="BK31" s="75" t="str" cm="1">
        <f t="array" aca="1" ref="BK31" ca="1">IF($B31="","",IF(ISBLANK(INDIRECT("R9.Web!D"&amp;SUM(18,38*27,12))),"",INDIRECT("R9.Web!D"&amp;SUM(18,38*27,12))))</f>
        <v>Pasa</v>
      </c>
      <c r="BL31" s="75" t="str" cm="1">
        <f t="array" aca="1" ref="BL31" ca="1">IF($B31="","",IF(ISBLANK(INDIRECT("R9.Web!D"&amp;SUM(18,38*28,12))),"",INDIRECT("R9.Web!D"&amp;SUM(18,38*28,12))))</f>
        <v>Pasa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Pasa</v>
      </c>
      <c r="BP31" s="75" t="str" cm="1">
        <f t="array" aca="1" ref="BP31" ca="1">IF($B31="","",IF(ISBLANK(INDIRECT("R9.Web!D"&amp;SUM(18,38*32,12))),"",INDIRECT("R9.Web!D"&amp;SUM(18,38*32,12))))</f>
        <v>N/A</v>
      </c>
      <c r="BQ31" s="75" t="str" cm="1">
        <f t="array" aca="1" ref="BQ31" ca="1">IF($B31="","",IF(ISBLANK(INDIRECT("R9.Web!D"&amp;SUM(18,38*33,12))),"",INDIRECT("R9.Web!D"&amp;SUM(18,38*33,12))))</f>
        <v>N/A</v>
      </c>
      <c r="BR31" s="75" t="str" cm="1">
        <f t="array" aca="1" ref="BR31" ca="1">IF($B31="","",IF(ISBLANK(INDIRECT("R9.Web!D"&amp;SUM(18,38*34,12))),"",INDIRECT("R9.Web!D"&amp;SUM(18,38*34,12))))</f>
        <v>Pasa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Pasa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Falla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Pasa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N/A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Pasa</v>
      </c>
      <c r="CO31" s="75" t="str" cm="1">
        <f t="array" aca="1" ref="CO31" ca="1">IF($B31="","",IF(ISBLANK(INDIRECT("R12.ServiciosApoyo!D"&amp;SUM(18,38*1,12))),"",INDIRECT("R12.ServiciosApoyo!D"&amp;SUM(18,38*1,12))))</f>
        <v>Falla</v>
      </c>
      <c r="CP31" s="75" t="str" cm="1">
        <f t="array" aca="1" ref="CP31" ca="1">IF($B31="","",IF(ISBLANK(INDIRECT("R12.ServiciosApoyo!D"&amp;SUM(18,38*2,12))),"",INDIRECT("R12.ServiciosApoyo!D"&amp;SUM(18,38*2,12))))</f>
        <v>Falla</v>
      </c>
      <c r="CQ31" s="75" t="str" cm="1">
        <f t="array" aca="1" ref="CQ31" ca="1">IF($B31="","",IF(ISBLANK(INDIRECT("R12.ServiciosApoyo!D"&amp;SUM(18,38*3,12))),"",INDIRECT("R12.ServiciosApoyo!D"&amp;SUM(18,38*3,12))))</f>
        <v>Pasa</v>
      </c>
      <c r="CR31" s="75" t="str" cm="1">
        <f t="array" aca="1" ref="CR31" ca="1">IF($B31="","",IF(ISBLANK(INDIRECT("R12.ServiciosApoyo!D"&amp;SUM(18,38*4,12))),"",INDIRECT("R12.ServiciosApoyo!D"&amp;SUM(18,38*4,12))))</f>
        <v>Falla</v>
      </c>
      <c r="CU31" s="76"/>
    </row>
    <row r="32" spans="2:100" ht="20.5">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Decreto</v>
      </c>
      <c r="D32" s="74" t="str" cm="1">
        <f t="array" ref="D32">IFERROR(INDEX('03.Muestra'!$F$8:$F$42,SMALL(IF("Página Web"='03.Muestra'!$D$8:$D$42,ROW('03.Muestra'!$F$8:$F$42)-MIN(ROW('03.Muestra'!$D$8:$D$42))+1,""),ROW()-19)),"")</f>
        <v>https://www.comunidad.madrid/transparencia/decreto-del-consejo-gobierno-que-se-establece-estructura-organica-consejeria-familia-juventud-y</v>
      </c>
      <c r="E32" s="75" t="str" cm="1">
        <f t="array" aca="1" ref="E32" ca="1">IF($B32="","",IF(ISBLANK(INDIRECT("R5.Genéricos!D"&amp;SUM(18,38*0,13))),"",INDIRECT("R5.Genéricos!D"&amp;SUM(18,38*0,13))))</f>
        <v>N/A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Falla</v>
      </c>
      <c r="AQ32" s="75" t="str" cm="1">
        <f t="array" aca="1" ref="AQ32" ca="1">IF($B32="","",IF(ISBLANK(INDIRECT("R9.Web!D"&amp;SUM(18,38*7,13))),"",INDIRECT("R9.Web!D"&amp;SUM(18,38*7,13))))</f>
        <v>Falla</v>
      </c>
      <c r="AR32" s="75" t="str" cm="1">
        <f t="array" aca="1" ref="AR32" ca="1">IF($B32="","",IF(ISBLANK(INDIRECT("R9.Web!D"&amp;SUM(18,38*8,13))),"",INDIRECT("R9.Web!D"&amp;SUM(18,38*8,13))))</f>
        <v>Pasa</v>
      </c>
      <c r="AS32" s="75" t="str" cm="1">
        <f t="array" aca="1" ref="AS32" ca="1">IF($B32="","",IF(ISBLANK(INDIRECT("R9.Web!D"&amp;SUM(18,38*9,13))),"",INDIRECT("R9.Web!D"&amp;SUM(18,38*9,13))))</f>
        <v>N/A</v>
      </c>
      <c r="AT32" s="75" t="str" cm="1">
        <f t="array" aca="1" ref="AT32" ca="1">IF($B32="","",IF(ISBLANK(INDIRECT("R9.Web!D"&amp;SUM(18,38*10,13))),"",INDIRECT("R9.Web!D"&amp;SUM(18,38*10,13))))</f>
        <v>N/A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Falla</v>
      </c>
      <c r="AX32" s="75" t="str" cm="1">
        <f t="array" aca="1" ref="AX32" ca="1">IF($B32="","",IF(ISBLANK(INDIRECT("R9.Web!D"&amp;SUM(18,38*14,13))),"",INDIRECT("R9.Web!D"&amp;SUM(18,38*14,13))))</f>
        <v>N/A</v>
      </c>
      <c r="AY32" s="75" t="str" cm="1">
        <f t="array" aca="1" ref="AY32" ca="1">IF($B32="","",IF(ISBLANK(INDIRECT("R9.Web!D"&amp;SUM(18,38*15,13))),"",INDIRECT("R9.Web!D"&amp;SUM(18,38*15,13))))</f>
        <v>Falla</v>
      </c>
      <c r="AZ32" s="75" t="str" cm="1">
        <f t="array" aca="1" ref="AZ32" ca="1">IF($B32="","",IF(ISBLANK(INDIRECT("R9.Web!D"&amp;SUM(18,38*16,13))),"",INDIRECT("R9.Web!D"&amp;SUM(18,38*16,13))))</f>
        <v>Falla</v>
      </c>
      <c r="BA32" s="75" t="str" cm="1">
        <f t="array" aca="1" ref="BA32" ca="1">IF($B32="","",IF(ISBLANK(INDIRECT("R9.Web!D"&amp;SUM(18,38*17,13))),"",INDIRECT("R9.Web!D"&amp;SUM(18,38*17,13))))</f>
        <v>Pasa</v>
      </c>
      <c r="BB32" s="75" t="str" cm="1">
        <f t="array" aca="1" ref="BB32" ca="1">IF($B32="","",IF(ISBLANK(INDIRECT("R9.Web!D"&amp;SUM(18,38*18,13))),"",INDIRECT("R9.Web!D"&amp;SUM(18,38*18,13))))</f>
        <v>Falla</v>
      </c>
      <c r="BC32" s="75" t="str" cm="1">
        <f t="array" aca="1" ref="BC32" ca="1">IF($B32="","",IF(ISBLANK(INDIRECT("R9.Web!D"&amp;SUM(18,38*19,13))),"",INDIRECT("R9.Web!D"&amp;SUM(18,38*19,13))))</f>
        <v>Pasa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N/A</v>
      </c>
      <c r="BJ32" s="75" t="str" cm="1">
        <f t="array" aca="1" ref="BJ32" ca="1">IF($B32="","",IF(ISBLANK(INDIRECT("R9.Web!D"&amp;SUM(18,38*26,13))),"",INDIRECT("R9.Web!D"&amp;SUM(18,38*26,13))))</f>
        <v>Pasa</v>
      </c>
      <c r="BK32" s="75" t="str" cm="1">
        <f t="array" aca="1" ref="BK32" ca="1">IF($B32="","",IF(ISBLANK(INDIRECT("R9.Web!D"&amp;SUM(18,38*27,13))),"",INDIRECT("R9.Web!D"&amp;SUM(18,38*27,13))))</f>
        <v>Pasa</v>
      </c>
      <c r="BL32" s="75" t="str" cm="1">
        <f t="array" aca="1" ref="BL32" ca="1">IF($B32="","",IF(ISBLANK(INDIRECT("R9.Web!D"&amp;SUM(18,38*28,13))),"",INDIRECT("R9.Web!D"&amp;SUM(18,38*28,13))))</f>
        <v>Pasa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Pasa</v>
      </c>
      <c r="BP32" s="75" t="str" cm="1">
        <f t="array" aca="1" ref="BP32" ca="1">IF($B32="","",IF(ISBLANK(INDIRECT("R9.Web!D"&amp;SUM(18,38*32,13))),"",INDIRECT("R9.Web!D"&amp;SUM(18,38*32,13))))</f>
        <v>N/A</v>
      </c>
      <c r="BQ32" s="75" t="str" cm="1">
        <f t="array" aca="1" ref="BQ32" ca="1">IF($B32="","",IF(ISBLANK(INDIRECT("R9.Web!D"&amp;SUM(18,38*33,13))),"",INDIRECT("R9.Web!D"&amp;SUM(18,38*33,13))))</f>
        <v>N/A</v>
      </c>
      <c r="BR32" s="75" t="str" cm="1">
        <f t="array" aca="1" ref="BR32" ca="1">IF($B32="","",IF(ISBLANK(INDIRECT("R9.Web!D"&amp;SUM(18,38*34,13))),"",INDIRECT("R9.Web!D"&amp;SUM(18,38*34,13))))</f>
        <v>Pasa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Pasa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Falla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Pasa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N/A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Pasa</v>
      </c>
      <c r="CO32" s="75" t="str" cm="1">
        <f t="array" aca="1" ref="CO32" ca="1">IF($B32="","",IF(ISBLANK(INDIRECT("R12.ServiciosApoyo!D"&amp;SUM(18,38*1,13))),"",INDIRECT("R12.ServiciosApoyo!D"&amp;SUM(18,38*1,13))))</f>
        <v>Falla</v>
      </c>
      <c r="CP32" s="75" t="str" cm="1">
        <f t="array" aca="1" ref="CP32" ca="1">IF($B32="","",IF(ISBLANK(INDIRECT("R12.ServiciosApoyo!D"&amp;SUM(18,38*2,13))),"",INDIRECT("R12.ServiciosApoyo!D"&amp;SUM(18,38*2,13))))</f>
        <v>Falla</v>
      </c>
      <c r="CQ32" s="75" t="str" cm="1">
        <f t="array" aca="1" ref="CQ32" ca="1">IF($B32="","",IF(ISBLANK(INDIRECT("R12.ServiciosApoyo!D"&amp;SUM(18,38*3,13))),"",INDIRECT("R12.ServiciosApoyo!D"&amp;SUM(18,38*3,13))))</f>
        <v>Pasa</v>
      </c>
      <c r="CR32" s="75" t="str" cm="1">
        <f t="array" aca="1" ref="CR32" ca="1">IF($B32="","",IF(ISBLANK(INDIRECT("R12.ServiciosApoyo!D"&amp;SUM(18,38*4,13))),"",INDIRECT("R12.ServiciosApoyo!D"&amp;SUM(18,38*4,13))))</f>
        <v>Falla</v>
      </c>
      <c r="CU32" s="76"/>
    </row>
    <row r="33" spans="2:99" ht="20.5">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Entidades Locales</v>
      </c>
      <c r="D33" s="74" t="str" cm="1">
        <f t="array" ref="D33">IFERROR(INDEX('03.Muestra'!$F$8:$F$42,SMALL(IF("Página Web"='03.Muestra'!$D$8:$D$42,ROW('03.Muestra'!$F$8:$F$42)-MIN(ROW('03.Muestra'!$D$8:$D$42))+1,""),ROW()-19)),"")</f>
        <v>https://www.comunidad.madrid/transparencia/entidades-locales</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Falla</v>
      </c>
      <c r="AQ33" s="75" t="str" cm="1">
        <f t="array" aca="1" ref="AQ33" ca="1">IF($B33="","",IF(ISBLANK(INDIRECT("R9.Web!D"&amp;SUM(18,38*7,14))),"",INDIRECT("R9.Web!D"&amp;SUM(18,38*7,14))))</f>
        <v>Falla</v>
      </c>
      <c r="AR33" s="75" t="str" cm="1">
        <f t="array" aca="1" ref="AR33" ca="1">IF($B33="","",IF(ISBLANK(INDIRECT("R9.Web!D"&amp;SUM(18,38*8,14))),"",INDIRECT("R9.Web!D"&amp;SUM(18,38*8,14))))</f>
        <v>Pasa</v>
      </c>
      <c r="AS33" s="75" t="str" cm="1">
        <f t="array" aca="1" ref="AS33" ca="1">IF($B33="","",IF(ISBLANK(INDIRECT("R9.Web!D"&amp;SUM(18,38*9,14))),"",INDIRECT("R9.Web!D"&amp;SUM(18,38*9,14))))</f>
        <v>N/A</v>
      </c>
      <c r="AT33" s="75" t="str" cm="1">
        <f t="array" aca="1" ref="AT33" ca="1">IF($B33="","",IF(ISBLANK(INDIRECT("R9.Web!D"&amp;SUM(18,38*10,14))),"",INDIRECT("R9.Web!D"&amp;SUM(18,38*10,14))))</f>
        <v>N/A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Falla</v>
      </c>
      <c r="AX33" s="75" t="str" cm="1">
        <f t="array" aca="1" ref="AX33" ca="1">IF($B33="","",IF(ISBLANK(INDIRECT("R9.Web!D"&amp;SUM(18,38*14,14))),"",INDIRECT("R9.Web!D"&amp;SUM(18,38*14,14))))</f>
        <v>N/A</v>
      </c>
      <c r="AY33" s="75" t="str" cm="1">
        <f t="array" aca="1" ref="AY33" ca="1">IF($B33="","",IF(ISBLANK(INDIRECT("R9.Web!D"&amp;SUM(18,38*15,14))),"",INDIRECT("R9.Web!D"&amp;SUM(18,38*15,14))))</f>
        <v>Falla</v>
      </c>
      <c r="AZ33" s="75" t="str" cm="1">
        <f t="array" aca="1" ref="AZ33" ca="1">IF($B33="","",IF(ISBLANK(INDIRECT("R9.Web!D"&amp;SUM(18,38*16,14))),"",INDIRECT("R9.Web!D"&amp;SUM(18,38*16,14))))</f>
        <v>Falla</v>
      </c>
      <c r="BA33" s="75" t="str" cm="1">
        <f t="array" aca="1" ref="BA33" ca="1">IF($B33="","",IF(ISBLANK(INDIRECT("R9.Web!D"&amp;SUM(18,38*17,14))),"",INDIRECT("R9.Web!D"&amp;SUM(18,38*17,14))))</f>
        <v>Pasa</v>
      </c>
      <c r="BB33" s="75" t="str" cm="1">
        <f t="array" aca="1" ref="BB33" ca="1">IF($B33="","",IF(ISBLANK(INDIRECT("R9.Web!D"&amp;SUM(18,38*18,14))),"",INDIRECT("R9.Web!D"&amp;SUM(18,38*18,14))))</f>
        <v>Falla</v>
      </c>
      <c r="BC33" s="75" t="str" cm="1">
        <f t="array" aca="1" ref="BC33" ca="1">IF($B33="","",IF(ISBLANK(INDIRECT("R9.Web!D"&amp;SUM(18,38*19,14))),"",INDIRECT("R9.Web!D"&amp;SUM(18,38*19,14))))</f>
        <v>Pasa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N/A</v>
      </c>
      <c r="BJ33" s="75" t="str" cm="1">
        <f t="array" aca="1" ref="BJ33" ca="1">IF($B33="","",IF(ISBLANK(INDIRECT("R9.Web!D"&amp;SUM(18,38*26,14))),"",INDIRECT("R9.Web!D"&amp;SUM(18,38*26,14))))</f>
        <v>Pasa</v>
      </c>
      <c r="BK33" s="75" t="str" cm="1">
        <f t="array" aca="1" ref="BK33" ca="1">IF($B33="","",IF(ISBLANK(INDIRECT("R9.Web!D"&amp;SUM(18,38*27,14))),"",INDIRECT("R9.Web!D"&amp;SUM(18,38*27,14))))</f>
        <v>Pasa</v>
      </c>
      <c r="BL33" s="75" t="str" cm="1">
        <f t="array" aca="1" ref="BL33" ca="1">IF($B33="","",IF(ISBLANK(INDIRECT("R9.Web!D"&amp;SUM(18,38*28,14))),"",INDIRECT("R9.Web!D"&amp;SUM(18,38*28,14))))</f>
        <v>Pasa</v>
      </c>
      <c r="BM33" s="75" t="str" cm="1">
        <f t="array" aca="1" ref="BM33" ca="1">IF($B33="","",IF(ISBLANK(INDIRECT("R9.Web!D"&amp;SUM(18,38*29,14))),"",INDIRECT("R9.Web!D"&amp;SUM(18,38*29,14))))</f>
        <v>Pasa</v>
      </c>
      <c r="BN33" s="75" t="str" cm="1">
        <f t="array" aca="1" ref="BN33" ca="1">IF($B33="","",IF(ISBLANK(INDIRECT("R9.Web!D"&amp;SUM(18,38*30,14))),"",INDIRECT("R9.Web!D"&amp;SUM(18,38*30,14))))</f>
        <v>Pasa</v>
      </c>
      <c r="BO33" s="75" t="str" cm="1">
        <f t="array" aca="1" ref="BO33" ca="1">IF($B33="","",IF(ISBLANK(INDIRECT("R9.Web!D"&amp;SUM(18,38*31,14))),"",INDIRECT("R9.Web!D"&amp;SUM(18,38*31,14))))</f>
        <v>Pasa</v>
      </c>
      <c r="BP33" s="75" t="str" cm="1">
        <f t="array" aca="1" ref="BP33" ca="1">IF($B33="","",IF(ISBLANK(INDIRECT("R9.Web!D"&amp;SUM(18,38*32,14))),"",INDIRECT("R9.Web!D"&amp;SUM(18,38*32,14))))</f>
        <v>N/A</v>
      </c>
      <c r="BQ33" s="75" t="str" cm="1">
        <f t="array" aca="1" ref="BQ33" ca="1">IF($B33="","",IF(ISBLANK(INDIRECT("R9.Web!D"&amp;SUM(18,38*33,14))),"",INDIRECT("R9.Web!D"&amp;SUM(18,38*33,14))))</f>
        <v>N/A</v>
      </c>
      <c r="BR33" s="75" t="str" cm="1">
        <f t="array" aca="1" ref="BR33" ca="1">IF($B33="","",IF(ISBLANK(INDIRECT("R9.Web!D"&amp;SUM(18,38*34,14))),"",INDIRECT("R9.Web!D"&amp;SUM(18,38*34,14))))</f>
        <v>Pasa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Pasa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N/A</v>
      </c>
      <c r="CA33" s="75" t="str" cm="1">
        <f t="array" aca="1" ref="CA33" ca="1">IF($B33="","",IF(ISBLANK(INDIRECT("R9.Web!D"&amp;SUM(18,38*43,14))),"",INDIRECT("R9.Web!D"&amp;SUM(18,38*43,14))))</f>
        <v>Falla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Pasa</v>
      </c>
      <c r="CE33" s="75" t="str" cm="1">
        <f t="array" aca="1" ref="CE33" ca="1">IF($B33="","",IF(ISBLANK(INDIRECT("R9.Web!D"&amp;SUM(18,38*47,14))),"",INDIRECT("R9.Web!D"&amp;SUM(18,38*47,14))))</f>
        <v>Pasa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N/A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Pasa</v>
      </c>
      <c r="CO33" s="75" t="str" cm="1">
        <f t="array" aca="1" ref="CO33" ca="1">IF($B33="","",IF(ISBLANK(INDIRECT("R12.ServiciosApoyo!D"&amp;SUM(18,38*1,14))),"",INDIRECT("R12.ServiciosApoyo!D"&amp;SUM(18,38*1,14))))</f>
        <v>Falla</v>
      </c>
      <c r="CP33" s="75" t="str" cm="1">
        <f t="array" aca="1" ref="CP33" ca="1">IF($B33="","",IF(ISBLANK(INDIRECT("R12.ServiciosApoyo!D"&amp;SUM(18,38*2,14))),"",INDIRECT("R12.ServiciosApoyo!D"&amp;SUM(18,38*2,14))))</f>
        <v>Falla</v>
      </c>
      <c r="CQ33" s="75" t="str" cm="1">
        <f t="array" aca="1" ref="CQ33" ca="1">IF($B33="","",IF(ISBLANK(INDIRECT("R12.ServiciosApoyo!D"&amp;SUM(18,38*3,14))),"",INDIRECT("R12.ServiciosApoyo!D"&amp;SUM(18,38*3,14))))</f>
        <v>Pasa</v>
      </c>
      <c r="CR33" s="75" t="str" cm="1">
        <f t="array" aca="1" ref="CR33" ca="1">IF($B33="","",IF(ISBLANK(INDIRECT("R12.ServiciosApoyo!D"&amp;SUM(18,38*4,14))),"",INDIRECT("R12.ServiciosApoyo!D"&amp;SUM(18,38*4,14))))</f>
        <v>Falla</v>
      </c>
      <c r="CU33" s="76"/>
    </row>
    <row r="34" spans="2:99" ht="20.5">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5">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261</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N/A</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NO 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5">
      <c r="AI56" s="76"/>
    </row>
    <row r="58" spans="2:99" ht="30.75" customHeight="1" thickBot="1">
      <c r="B58" s="243" t="s">
        <v>263</v>
      </c>
      <c r="C58" s="243"/>
      <c r="D58" s="243"/>
    </row>
    <row r="59" spans="2:99" ht="23.25" customHeight="1">
      <c r="B59" s="237" t="s">
        <v>269</v>
      </c>
      <c r="C59" s="238"/>
      <c r="D59" s="239"/>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2"/>
      <c r="AF59" s="132"/>
      <c r="AG59" s="132"/>
      <c r="AH59" s="132"/>
      <c r="AI59" s="132"/>
      <c r="AJ59" s="132"/>
      <c r="AK59" s="132"/>
      <c r="AL59" s="132"/>
      <c r="AM59" s="132"/>
      <c r="AN59" s="132"/>
      <c r="AO59" s="132"/>
      <c r="AP59" s="132"/>
      <c r="AQ59" s="132"/>
      <c r="AR59" s="132"/>
      <c r="AS59" s="132"/>
      <c r="AT59" s="132"/>
      <c r="AU59" s="132"/>
      <c r="AV59" s="132"/>
      <c r="AW59" s="132"/>
    </row>
    <row r="60" spans="2:99" ht="21.75" customHeight="1">
      <c r="B60" s="72" t="s">
        <v>98</v>
      </c>
      <c r="C60" s="72" t="s">
        <v>270</v>
      </c>
      <c r="D60" s="72" t="s">
        <v>364</v>
      </c>
      <c r="E60" s="72" t="s">
        <v>365</v>
      </c>
      <c r="F60" s="72" t="s">
        <v>366</v>
      </c>
      <c r="G60" s="72" t="s">
        <v>367</v>
      </c>
      <c r="H60" s="72" t="s">
        <v>368</v>
      </c>
      <c r="I60" s="72" t="s">
        <v>369</v>
      </c>
      <c r="J60" s="72" t="s">
        <v>370</v>
      </c>
      <c r="K60" s="72" t="s">
        <v>371</v>
      </c>
      <c r="L60" s="72" t="s">
        <v>372</v>
      </c>
      <c r="M60" s="72" t="s">
        <v>373</v>
      </c>
      <c r="N60" s="72" t="s">
        <v>374</v>
      </c>
      <c r="O60" s="72" t="s">
        <v>375</v>
      </c>
      <c r="P60" s="72" t="s">
        <v>376</v>
      </c>
      <c r="Q60" s="72" t="s">
        <v>377</v>
      </c>
      <c r="R60" s="72" t="s">
        <v>378</v>
      </c>
      <c r="S60" s="72" t="s">
        <v>379</v>
      </c>
      <c r="T60" s="72" t="s">
        <v>380</v>
      </c>
      <c r="U60" s="72" t="s">
        <v>381</v>
      </c>
      <c r="V60" s="72" t="s">
        <v>382</v>
      </c>
      <c r="W60" s="72" t="s">
        <v>383</v>
      </c>
      <c r="X60" s="72" t="s">
        <v>384</v>
      </c>
      <c r="Y60" s="72" t="s">
        <v>385</v>
      </c>
      <c r="Z60" s="72" t="s">
        <v>386</v>
      </c>
      <c r="AA60" s="72" t="s">
        <v>387</v>
      </c>
      <c r="AB60" s="72" t="s">
        <v>388</v>
      </c>
      <c r="AC60" s="72" t="s">
        <v>389</v>
      </c>
      <c r="AD60" s="72" t="s">
        <v>390</v>
      </c>
      <c r="AE60" s="72" t="s">
        <v>391</v>
      </c>
      <c r="AF60" s="72" t="s">
        <v>392</v>
      </c>
      <c r="AG60" s="72" t="s">
        <v>393</v>
      </c>
      <c r="AH60" s="72" t="s">
        <v>394</v>
      </c>
      <c r="AI60" s="72" t="s">
        <v>395</v>
      </c>
      <c r="AJ60" s="72" t="s">
        <v>396</v>
      </c>
      <c r="AK60" s="72" t="s">
        <v>397</v>
      </c>
      <c r="AL60" s="72" t="s">
        <v>398</v>
      </c>
      <c r="AM60" s="72" t="s">
        <v>399</v>
      </c>
      <c r="AN60" s="72" t="s">
        <v>400</v>
      </c>
      <c r="AO60" s="72" t="s">
        <v>401</v>
      </c>
      <c r="AP60" s="72" t="s">
        <v>402</v>
      </c>
      <c r="AQ60" s="72" t="s">
        <v>403</v>
      </c>
      <c r="AR60" s="72" t="s">
        <v>404</v>
      </c>
      <c r="AS60" s="72" t="s">
        <v>405</v>
      </c>
      <c r="AT60" s="72" t="s">
        <v>406</v>
      </c>
      <c r="AU60" s="72" t="s">
        <v>407</v>
      </c>
      <c r="AV60" s="72" t="s">
        <v>408</v>
      </c>
      <c r="AW60" s="72" t="s">
        <v>409</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263</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36328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62" t="s">
        <v>410</v>
      </c>
      <c r="C4" s="262"/>
      <c r="D4" s="262"/>
      <c r="E4" s="262"/>
      <c r="F4" s="262"/>
      <c r="G4" s="262"/>
      <c r="H4" s="262"/>
      <c r="I4" s="262"/>
      <c r="J4" s="262"/>
      <c r="K4" s="262"/>
      <c r="L4" s="262"/>
      <c r="M4" s="262"/>
      <c r="N4" s="262"/>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60" t="s">
        <v>411</v>
      </c>
      <c r="C6" s="260"/>
      <c r="D6" s="260"/>
      <c r="E6" s="260"/>
      <c r="F6" s="260"/>
      <c r="G6" s="260"/>
      <c r="H6" s="260"/>
      <c r="I6" s="260"/>
      <c r="J6" s="260"/>
      <c r="K6" s="260"/>
      <c r="L6" s="260"/>
      <c r="M6" s="260"/>
      <c r="N6" s="260"/>
    </row>
    <row r="7" spans="1:64" ht="172.5" customHeight="1">
      <c r="B7" s="261"/>
      <c r="C7" s="261"/>
      <c r="D7" s="261"/>
      <c r="E7" s="261"/>
      <c r="F7" s="261"/>
      <c r="G7" s="261"/>
      <c r="H7" s="261"/>
      <c r="I7" s="261"/>
      <c r="J7" s="261"/>
      <c r="K7" s="261"/>
      <c r="L7" s="261"/>
      <c r="M7" s="261"/>
      <c r="N7" s="261"/>
    </row>
    <row r="8" spans="1:64" ht="232.5" customHeight="1">
      <c r="B8" s="261"/>
      <c r="C8" s="261"/>
      <c r="D8" s="261"/>
      <c r="E8" s="261"/>
      <c r="F8" s="261"/>
      <c r="G8" s="261"/>
      <c r="H8" s="261"/>
      <c r="I8" s="261"/>
      <c r="J8" s="261"/>
      <c r="K8" s="261"/>
      <c r="L8" s="261"/>
      <c r="M8" s="261"/>
      <c r="N8" s="261"/>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2">
      <c r="C7" s="140" t="s">
        <v>412</v>
      </c>
      <c r="D7" s="84"/>
      <c r="E7" s="140" t="s">
        <v>413</v>
      </c>
      <c r="F7" s="84"/>
      <c r="G7" s="140" t="s">
        <v>414</v>
      </c>
      <c r="H7" s="84"/>
      <c r="I7" s="140" t="s">
        <v>415</v>
      </c>
      <c r="J7" s="84"/>
      <c r="K7" s="140" t="s">
        <v>416</v>
      </c>
      <c r="L7" s="84"/>
      <c r="M7" s="140" t="s">
        <v>416</v>
      </c>
      <c r="N7" s="84"/>
      <c r="O7" s="140" t="s">
        <v>417</v>
      </c>
      <c r="P7" s="84"/>
      <c r="R7" s="84"/>
      <c r="S7" s="140" t="s">
        <v>418</v>
      </c>
      <c r="T7" s="84"/>
      <c r="U7" s="140" t="s">
        <v>100</v>
      </c>
      <c r="V7" s="84"/>
    </row>
    <row r="8" spans="3:22">
      <c r="U8" s="134" t="s">
        <v>419</v>
      </c>
      <c r="V8" s="134"/>
    </row>
    <row r="9" spans="3:22" ht="12.75" customHeight="1">
      <c r="C9" s="3" t="s">
        <v>420</v>
      </c>
      <c r="E9" s="16" t="s">
        <v>35</v>
      </c>
      <c r="G9" t="s">
        <v>421</v>
      </c>
      <c r="I9" t="s">
        <v>422</v>
      </c>
      <c r="K9" t="s">
        <v>53</v>
      </c>
      <c r="M9" t="s">
        <v>423</v>
      </c>
      <c r="O9" t="s">
        <v>424</v>
      </c>
      <c r="S9" t="s">
        <v>425</v>
      </c>
      <c r="U9" s="21" t="s">
        <v>101</v>
      </c>
      <c r="V9" s="21"/>
    </row>
    <row r="10" spans="3:22" ht="12.75" customHeight="1">
      <c r="C10" s="3" t="s">
        <v>426</v>
      </c>
      <c r="E10" s="16" t="s">
        <v>37</v>
      </c>
      <c r="G10" t="s">
        <v>46</v>
      </c>
      <c r="I10" t="s">
        <v>427</v>
      </c>
      <c r="K10" t="s">
        <v>36</v>
      </c>
      <c r="M10" t="s">
        <v>428</v>
      </c>
      <c r="O10" t="s">
        <v>429</v>
      </c>
      <c r="S10" t="s">
        <v>430</v>
      </c>
      <c r="U10" s="21" t="s">
        <v>102</v>
      </c>
      <c r="V10" s="21"/>
    </row>
    <row r="11" spans="3:22" ht="12.75" customHeight="1">
      <c r="C11" s="3" t="s">
        <v>431</v>
      </c>
      <c r="E11" s="16" t="s">
        <v>38</v>
      </c>
      <c r="G11" t="s">
        <v>432</v>
      </c>
      <c r="O11" t="s">
        <v>433</v>
      </c>
      <c r="S11" t="s">
        <v>434</v>
      </c>
      <c r="U11" s="21" t="s">
        <v>103</v>
      </c>
      <c r="V11" s="21"/>
    </row>
    <row r="12" spans="3:22" ht="12.75" customHeight="1">
      <c r="C12" s="3" t="s">
        <v>435</v>
      </c>
      <c r="E12" s="16" t="s">
        <v>39</v>
      </c>
      <c r="O12" t="s">
        <v>436</v>
      </c>
      <c r="U12" s="21" t="s">
        <v>93</v>
      </c>
      <c r="V12" s="21"/>
    </row>
    <row r="13" spans="3:22" ht="12.75" customHeight="1">
      <c r="E13" s="16" t="s">
        <v>40</v>
      </c>
      <c r="O13" t="s">
        <v>437</v>
      </c>
      <c r="U13" s="21" t="s">
        <v>91</v>
      </c>
      <c r="V13" s="21"/>
    </row>
    <row r="14" spans="3:22" ht="12.75" customHeight="1">
      <c r="E14" s="16" t="s">
        <v>41</v>
      </c>
      <c r="O14" t="s">
        <v>438</v>
      </c>
    </row>
    <row r="15" spans="3:22" ht="12.75" customHeight="1">
      <c r="E15" s="16" t="s">
        <v>42</v>
      </c>
      <c r="O15" t="s">
        <v>439</v>
      </c>
    </row>
    <row r="16" spans="3:22" ht="12.75" customHeight="1">
      <c r="E16" s="16" t="s">
        <v>43</v>
      </c>
      <c r="O16" t="s">
        <v>440</v>
      </c>
    </row>
    <row r="17" spans="2:15" ht="12.75" customHeight="1">
      <c r="E17" s="16" t="s">
        <v>44</v>
      </c>
      <c r="O17" t="s">
        <v>441</v>
      </c>
    </row>
    <row r="18" spans="2:15" ht="12.75" customHeight="1">
      <c r="E18" s="16"/>
      <c r="O18" t="s">
        <v>442</v>
      </c>
    </row>
    <row r="19" spans="2:15" ht="12.75" customHeight="1">
      <c r="E19" s="16"/>
      <c r="O19" t="s">
        <v>443</v>
      </c>
    </row>
    <row r="20" spans="2:15" ht="12.75" customHeight="1">
      <c r="E20" s="29"/>
      <c r="O20" t="s">
        <v>444</v>
      </c>
    </row>
    <row r="21" spans="2:15" ht="12.75" customHeight="1">
      <c r="E21" s="17"/>
      <c r="O21" t="s">
        <v>445</v>
      </c>
    </row>
    <row r="22" spans="2:15" ht="12.75" customHeight="1">
      <c r="O22" t="s">
        <v>428</v>
      </c>
    </row>
    <row r="23" spans="2:15" ht="15.5">
      <c r="B23" s="30" t="s">
        <v>446</v>
      </c>
    </row>
    <row r="25" spans="2:15" ht="15.5">
      <c r="B25" s="31" t="s">
        <v>447</v>
      </c>
      <c r="C25" s="32">
        <v>0.1</v>
      </c>
    </row>
    <row r="26" spans="2:15" ht="15.5">
      <c r="B26" s="31" t="s">
        <v>448</v>
      </c>
      <c r="C26" s="32">
        <v>0.5</v>
      </c>
    </row>
    <row r="27" spans="2:15" ht="15.5">
      <c r="B27" s="31" t="s">
        <v>449</v>
      </c>
      <c r="C27" s="32">
        <v>1</v>
      </c>
    </row>
    <row r="28" spans="2:15">
      <c r="C28" s="33"/>
      <c r="D28" s="33"/>
    </row>
    <row r="29" spans="2:15">
      <c r="C29" s="33"/>
      <c r="D29" s="33"/>
    </row>
    <row r="30" spans="2:15" ht="14">
      <c r="B30" s="34" t="s">
        <v>450</v>
      </c>
      <c r="C30" s="207"/>
      <c r="D30" s="207"/>
    </row>
    <row r="31" spans="2:15" ht="14">
      <c r="B31" s="208"/>
      <c r="C31" s="207"/>
      <c r="D31" s="207"/>
    </row>
    <row r="32" spans="2:15" ht="14">
      <c r="B32" s="208" t="s">
        <v>451</v>
      </c>
      <c r="C32" s="208">
        <v>28</v>
      </c>
      <c r="D32" s="208"/>
    </row>
    <row r="33" spans="2:4" ht="14">
      <c r="B33" s="208" t="s">
        <v>452</v>
      </c>
      <c r="C33" s="208">
        <v>16</v>
      </c>
      <c r="D33" s="208"/>
    </row>
    <row r="34" spans="2:4" ht="14">
      <c r="B34" s="208"/>
      <c r="C34" s="208"/>
      <c r="D34" s="208"/>
    </row>
    <row r="35" spans="2:4" ht="14">
      <c r="B35" s="208"/>
      <c r="C35" s="208"/>
      <c r="D35" s="208"/>
    </row>
    <row r="36" spans="2:4" ht="14">
      <c r="B36" s="208"/>
      <c r="C36" s="208"/>
      <c r="D36" s="208"/>
    </row>
    <row r="37" spans="2:4" ht="14">
      <c r="B37" s="208"/>
      <c r="C37" s="208"/>
      <c r="D37" s="208"/>
    </row>
    <row r="38" spans="2:4" ht="14">
      <c r="B38" s="208"/>
      <c r="C38" s="208"/>
      <c r="D38" s="208"/>
    </row>
    <row r="39" spans="2:4" ht="14">
      <c r="B39" s="208"/>
      <c r="C39" s="208"/>
      <c r="D39" s="208"/>
    </row>
    <row r="40" spans="2:4" ht="14">
      <c r="B40" s="208"/>
      <c r="C40" s="208"/>
    </row>
    <row r="41" spans="2:4" ht="14">
      <c r="B41" s="208"/>
      <c r="C41" s="208"/>
    </row>
    <row r="42" spans="2:4" ht="14">
      <c r="B42" s="208"/>
      <c r="C42" s="208"/>
    </row>
    <row r="43" spans="2:4" ht="14">
      <c r="B43" s="208"/>
      <c r="C43" s="208"/>
    </row>
    <row r="44" spans="2:4" ht="14">
      <c r="B44" s="208"/>
      <c r="C44" s="208"/>
    </row>
    <row r="45" spans="2:4" ht="14">
      <c r="B45" s="208"/>
      <c r="C45" s="208"/>
    </row>
    <row r="46" spans="2:4" ht="14">
      <c r="B46" s="208"/>
      <c r="C46" s="208"/>
    </row>
    <row r="47" spans="2:4" ht="14">
      <c r="B47" s="208"/>
      <c r="C47" s="208"/>
    </row>
    <row r="48" spans="2:4" ht="14">
      <c r="B48" s="208"/>
      <c r="C48" s="208"/>
    </row>
    <row r="49" spans="2:3" ht="14">
      <c r="B49" s="208"/>
      <c r="C49" s="208"/>
    </row>
    <row r="50" spans="2:3" ht="14">
      <c r="B50" s="208"/>
      <c r="C50" s="208"/>
    </row>
    <row r="51" spans="2:3" ht="14">
      <c r="B51" s="208"/>
      <c r="C51" s="208"/>
    </row>
    <row r="52" spans="2:3" ht="14">
      <c r="B52" s="208"/>
      <c r="C52" s="208"/>
    </row>
    <row r="53" spans="2:3" ht="14">
      <c r="B53" s="208"/>
      <c r="C53" s="208"/>
    </row>
    <row r="54" spans="2:3" ht="14">
      <c r="B54" s="208"/>
      <c r="C54" s="208"/>
    </row>
    <row r="55" spans="2:3" ht="14">
      <c r="B55" s="208"/>
      <c r="C55" s="208"/>
    </row>
    <row r="56" spans="2:3" ht="14">
      <c r="B56" s="208"/>
      <c r="C56" s="208"/>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36328125" customWidth="1"/>
    <col min="5" max="5" width="14.08984375" customWidth="1"/>
    <col min="9" max="9" width="2.453125" customWidth="1"/>
    <col min="10" max="10" width="2.6328125" customWidth="1"/>
    <col min="11" max="11" width="27.54296875" customWidth="1"/>
    <col min="13" max="13" width="12.36328125" bestFit="1" customWidth="1"/>
    <col min="14" max="14" width="9.08984375" bestFit="1" customWidth="1"/>
    <col min="15" max="15" width="5.54296875" bestFit="1" customWidth="1"/>
    <col min="16" max="16" width="8.90625" bestFit="1" customWidth="1"/>
    <col min="17" max="19" width="3.54296875" customWidth="1"/>
    <col min="21" max="21" width="14.90625" bestFit="1" customWidth="1"/>
    <col min="22" max="22" width="21.36328125" bestFit="1" customWidth="1"/>
    <col min="26" max="26" width="21.36328125" bestFit="1" customWidth="1"/>
    <col min="120" max="120" width="14.90625" bestFit="1" customWidth="1"/>
    <col min="125" max="125" width="21.36328125" bestFit="1" customWidth="1"/>
  </cols>
  <sheetData>
    <row r="1" spans="1:170" ht="13">
      <c r="A1" s="108" t="s">
        <v>453</v>
      </c>
      <c r="B1" s="108"/>
      <c r="C1" s="108" t="s">
        <v>454</v>
      </c>
      <c r="D1" s="108"/>
      <c r="E1" s="108" t="s">
        <v>455</v>
      </c>
      <c r="F1" s="108"/>
      <c r="G1" s="108"/>
      <c r="H1" s="108"/>
      <c r="I1" s="108"/>
      <c r="J1" s="108"/>
      <c r="K1" s="108" t="s">
        <v>456</v>
      </c>
      <c r="L1" s="108"/>
      <c r="M1" s="108"/>
      <c r="T1" s="264" t="s">
        <v>261</v>
      </c>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c r="AS1" s="264"/>
      <c r="AT1" s="264"/>
      <c r="AU1" s="264"/>
      <c r="AV1" s="264"/>
      <c r="AW1" s="264"/>
      <c r="AX1" s="264"/>
      <c r="AY1" s="264"/>
      <c r="AZ1" s="264"/>
      <c r="BA1" s="264"/>
      <c r="BB1" s="264"/>
      <c r="BC1" s="264"/>
      <c r="BD1" s="264"/>
      <c r="BE1" s="264"/>
      <c r="BF1" s="264"/>
      <c r="BG1" s="264"/>
      <c r="BH1" s="264"/>
      <c r="BI1" s="264"/>
      <c r="BJ1" s="264"/>
      <c r="BK1" s="264"/>
      <c r="BL1" s="264"/>
      <c r="BM1" s="264"/>
      <c r="BN1" s="264"/>
      <c r="BO1" s="264"/>
      <c r="BP1" s="264"/>
      <c r="BQ1" s="264"/>
      <c r="BR1" s="264"/>
      <c r="BS1" s="264"/>
      <c r="BT1" s="264"/>
      <c r="BU1" s="264"/>
      <c r="BV1" s="264"/>
      <c r="BW1" s="264"/>
      <c r="BX1" s="264"/>
      <c r="BY1" s="264"/>
      <c r="BZ1" s="264"/>
      <c r="CA1" s="264"/>
      <c r="CB1" s="264"/>
      <c r="CC1" s="264"/>
      <c r="CD1" s="264"/>
      <c r="CE1" s="264"/>
      <c r="CF1" s="264"/>
      <c r="CG1" s="264"/>
      <c r="CH1" s="264"/>
      <c r="CI1" s="264"/>
      <c r="CJ1" s="264"/>
      <c r="CK1" s="264"/>
      <c r="CL1" s="264"/>
      <c r="CM1" s="264"/>
      <c r="CN1" s="264"/>
      <c r="CO1" s="264"/>
      <c r="CP1" s="264"/>
      <c r="CQ1" s="264"/>
      <c r="CR1" s="264"/>
      <c r="CS1" s="264"/>
      <c r="CT1" s="264"/>
      <c r="CU1" s="264"/>
      <c r="CV1" s="264"/>
      <c r="CW1" s="264"/>
      <c r="CX1" s="264"/>
      <c r="CY1" s="264"/>
      <c r="CZ1" s="264"/>
      <c r="DA1" s="264"/>
      <c r="DB1" s="264"/>
      <c r="DC1" s="264"/>
      <c r="DD1" s="264"/>
      <c r="DE1" s="264"/>
      <c r="DF1" s="264"/>
      <c r="DG1" s="264"/>
      <c r="DH1" s="264"/>
      <c r="DI1" s="264"/>
      <c r="DJ1" s="264"/>
      <c r="DK1" s="264"/>
      <c r="DL1" s="264"/>
      <c r="DM1" s="264"/>
      <c r="DN1" s="264"/>
      <c r="DO1" s="263" t="s">
        <v>457</v>
      </c>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row>
    <row r="2" spans="1:170" ht="13">
      <c r="A2" t="s">
        <v>458</v>
      </c>
      <c r="B2" s="110" t="str">
        <f>'00.Info'!N2</f>
        <v>Versión: 2.0.1</v>
      </c>
      <c r="C2" s="108" t="s">
        <v>14</v>
      </c>
      <c r="D2" s="111">
        <f>'01.Definición de ámbito'!C7</f>
        <v>0</v>
      </c>
      <c r="E2" s="108" t="s">
        <v>52</v>
      </c>
      <c r="F2" s="111" t="str">
        <f>'02.Tecnologías'!C9</f>
        <v>Sí</v>
      </c>
      <c r="G2" s="160" t="s">
        <v>459</v>
      </c>
      <c r="H2" s="160" t="s">
        <v>460</v>
      </c>
      <c r="I2" s="160"/>
      <c r="J2" s="160"/>
      <c r="K2" s="117" t="s">
        <v>461</v>
      </c>
      <c r="L2" s="162">
        <f>'03.Muestra'!D45</f>
        <v>14</v>
      </c>
      <c r="M2" s="108"/>
      <c r="T2" s="109" t="s">
        <v>462</v>
      </c>
      <c r="U2" s="109" t="s">
        <v>270</v>
      </c>
      <c r="V2" s="109" t="s">
        <v>463</v>
      </c>
      <c r="W2" s="109" t="s">
        <v>464</v>
      </c>
      <c r="X2" s="109" t="s">
        <v>465</v>
      </c>
      <c r="Y2" s="109" t="s">
        <v>466</v>
      </c>
      <c r="Z2" s="109" t="s">
        <v>77</v>
      </c>
      <c r="AA2" s="109" t="s">
        <v>272</v>
      </c>
      <c r="AB2" s="109" t="s">
        <v>273</v>
      </c>
      <c r="AC2" s="109" t="s">
        <v>274</v>
      </c>
      <c r="AD2" s="109" t="s">
        <v>275</v>
      </c>
      <c r="AE2" s="109" t="s">
        <v>276</v>
      </c>
      <c r="AF2" s="109" t="s">
        <v>277</v>
      </c>
      <c r="AG2" s="109" t="s">
        <v>278</v>
      </c>
      <c r="AH2" s="109" t="s">
        <v>279</v>
      </c>
      <c r="AI2" s="109" t="s">
        <v>280</v>
      </c>
      <c r="AJ2" s="109" t="s">
        <v>281</v>
      </c>
      <c r="AK2" s="109" t="s">
        <v>282</v>
      </c>
      <c r="AL2" s="109" t="s">
        <v>283</v>
      </c>
      <c r="AM2" s="109" t="s">
        <v>284</v>
      </c>
      <c r="AN2" s="109" t="s">
        <v>285</v>
      </c>
      <c r="AO2" s="109" t="s">
        <v>286</v>
      </c>
      <c r="AP2" s="109" t="s">
        <v>287</v>
      </c>
      <c r="AQ2" s="109" t="s">
        <v>288</v>
      </c>
      <c r="AR2" s="109" t="s">
        <v>289</v>
      </c>
      <c r="AS2" s="109" t="s">
        <v>290</v>
      </c>
      <c r="AT2" s="109" t="s">
        <v>291</v>
      </c>
      <c r="AU2" s="109" t="s">
        <v>292</v>
      </c>
      <c r="AV2" s="109" t="s">
        <v>293</v>
      </c>
      <c r="AW2" s="109" t="s">
        <v>294</v>
      </c>
      <c r="AX2" s="109" t="s">
        <v>295</v>
      </c>
      <c r="AY2" s="109" t="s">
        <v>296</v>
      </c>
      <c r="AZ2" s="109" t="s">
        <v>297</v>
      </c>
      <c r="BA2" s="109" t="s">
        <v>298</v>
      </c>
      <c r="BB2" s="109" t="s">
        <v>299</v>
      </c>
      <c r="BC2" s="109" t="s">
        <v>300</v>
      </c>
      <c r="BD2" s="109" t="s">
        <v>301</v>
      </c>
      <c r="BE2" s="109" t="s">
        <v>302</v>
      </c>
      <c r="BF2" s="109" t="s">
        <v>303</v>
      </c>
      <c r="BG2" s="109" t="s">
        <v>304</v>
      </c>
      <c r="BH2" s="109" t="s">
        <v>305</v>
      </c>
      <c r="BI2" s="109" t="s">
        <v>306</v>
      </c>
      <c r="BJ2" s="109" t="s">
        <v>307</v>
      </c>
      <c r="BK2" s="109" t="s">
        <v>308</v>
      </c>
      <c r="BL2" s="109" t="s">
        <v>309</v>
      </c>
      <c r="BM2" s="109" t="s">
        <v>310</v>
      </c>
      <c r="BN2" s="109" t="s">
        <v>311</v>
      </c>
      <c r="BO2" s="109" t="s">
        <v>312</v>
      </c>
      <c r="BP2" s="109" t="s">
        <v>313</v>
      </c>
      <c r="BQ2" s="109" t="s">
        <v>314</v>
      </c>
      <c r="BR2" s="109" t="s">
        <v>315</v>
      </c>
      <c r="BS2" s="109" t="s">
        <v>316</v>
      </c>
      <c r="BT2" s="109" t="s">
        <v>317</v>
      </c>
      <c r="BU2" s="109" t="s">
        <v>318</v>
      </c>
      <c r="BV2" s="109" t="s">
        <v>319</v>
      </c>
      <c r="BW2" s="109" t="s">
        <v>320</v>
      </c>
      <c r="BX2" s="109" t="s">
        <v>321</v>
      </c>
      <c r="BY2" s="109" t="s">
        <v>322</v>
      </c>
      <c r="BZ2" s="109" t="s">
        <v>323</v>
      </c>
      <c r="CA2" s="109" t="s">
        <v>324</v>
      </c>
      <c r="CB2" s="109" t="s">
        <v>325</v>
      </c>
      <c r="CC2" s="109" t="s">
        <v>326</v>
      </c>
      <c r="CD2" s="109" t="s">
        <v>327</v>
      </c>
      <c r="CE2" s="109" t="s">
        <v>328</v>
      </c>
      <c r="CF2" s="109" t="s">
        <v>329</v>
      </c>
      <c r="CG2" s="109" t="s">
        <v>330</v>
      </c>
      <c r="CH2" s="109" t="s">
        <v>331</v>
      </c>
      <c r="CI2" s="109" t="s">
        <v>332</v>
      </c>
      <c r="CJ2" s="109" t="s">
        <v>333</v>
      </c>
      <c r="CK2" s="109" t="s">
        <v>334</v>
      </c>
      <c r="CL2" s="109" t="s">
        <v>335</v>
      </c>
      <c r="CM2" s="109" t="s">
        <v>336</v>
      </c>
      <c r="CN2" s="109" t="s">
        <v>337</v>
      </c>
      <c r="CO2" s="109" t="s">
        <v>338</v>
      </c>
      <c r="CP2" s="109" t="s">
        <v>339</v>
      </c>
      <c r="CQ2" s="109" t="s">
        <v>340</v>
      </c>
      <c r="CR2" s="109" t="s">
        <v>341</v>
      </c>
      <c r="CS2" s="109" t="s">
        <v>342</v>
      </c>
      <c r="CT2" s="109" t="s">
        <v>343</v>
      </c>
      <c r="CU2" s="109" t="s">
        <v>344</v>
      </c>
      <c r="CV2" s="109" t="s">
        <v>345</v>
      </c>
      <c r="CW2" s="109" t="s">
        <v>346</v>
      </c>
      <c r="CX2" s="109" t="s">
        <v>347</v>
      </c>
      <c r="CY2" s="109" t="s">
        <v>348</v>
      </c>
      <c r="CZ2" s="109" t="s">
        <v>349</v>
      </c>
      <c r="DA2" s="109" t="s">
        <v>350</v>
      </c>
      <c r="DB2" s="109" t="s">
        <v>351</v>
      </c>
      <c r="DC2" s="109" t="s">
        <v>352</v>
      </c>
      <c r="DD2" s="109" t="s">
        <v>353</v>
      </c>
      <c r="DE2" s="109" t="s">
        <v>354</v>
      </c>
      <c r="DF2" s="109" t="s">
        <v>355</v>
      </c>
      <c r="DG2" s="109" t="s">
        <v>356</v>
      </c>
      <c r="DH2" s="109" t="s">
        <v>357</v>
      </c>
      <c r="DI2" s="109" t="s">
        <v>358</v>
      </c>
      <c r="DJ2" s="109" t="s">
        <v>359</v>
      </c>
      <c r="DK2" s="109" t="s">
        <v>360</v>
      </c>
      <c r="DL2" s="109" t="s">
        <v>361</v>
      </c>
      <c r="DM2" s="109" t="s">
        <v>362</v>
      </c>
      <c r="DN2" s="109" t="s">
        <v>363</v>
      </c>
      <c r="DO2" s="109" t="s">
        <v>462</v>
      </c>
      <c r="DP2" s="109" t="s">
        <v>270</v>
      </c>
      <c r="DQ2" s="109" t="s">
        <v>463</v>
      </c>
      <c r="DR2" s="109" t="s">
        <v>464</v>
      </c>
      <c r="DS2" s="109" t="s">
        <v>465</v>
      </c>
      <c r="DT2" s="109" t="s">
        <v>466</v>
      </c>
      <c r="DU2" s="109" t="s">
        <v>77</v>
      </c>
      <c r="DV2" s="109" t="s">
        <v>365</v>
      </c>
      <c r="DW2" s="108" t="s">
        <v>366</v>
      </c>
      <c r="DX2" s="108" t="s">
        <v>367</v>
      </c>
      <c r="DY2" s="108" t="s">
        <v>368</v>
      </c>
      <c r="DZ2" s="108" t="s">
        <v>369</v>
      </c>
      <c r="EA2" s="108" t="s">
        <v>370</v>
      </c>
      <c r="EB2" s="108" t="s">
        <v>371</v>
      </c>
      <c r="EC2" s="108" t="s">
        <v>372</v>
      </c>
      <c r="ED2" s="108" t="s">
        <v>373</v>
      </c>
      <c r="EE2" s="108" t="s">
        <v>374</v>
      </c>
      <c r="EF2" s="108" t="s">
        <v>375</v>
      </c>
      <c r="EG2" s="108" t="s">
        <v>376</v>
      </c>
      <c r="EH2" s="108" t="s">
        <v>377</v>
      </c>
      <c r="EI2" s="108" t="s">
        <v>378</v>
      </c>
      <c r="EJ2" s="108" t="s">
        <v>379</v>
      </c>
      <c r="EK2" s="108" t="s">
        <v>380</v>
      </c>
      <c r="EL2" s="108" t="s">
        <v>381</v>
      </c>
      <c r="EM2" s="108" t="s">
        <v>382</v>
      </c>
      <c r="EN2" s="108" t="s">
        <v>383</v>
      </c>
      <c r="EO2" s="108" t="s">
        <v>384</v>
      </c>
      <c r="EP2" s="108" t="s">
        <v>385</v>
      </c>
      <c r="EQ2" s="108" t="s">
        <v>386</v>
      </c>
      <c r="ER2" s="108" t="s">
        <v>387</v>
      </c>
      <c r="ES2" s="108" t="s">
        <v>388</v>
      </c>
      <c r="ET2" s="108" t="s">
        <v>389</v>
      </c>
      <c r="EU2" s="108" t="s">
        <v>390</v>
      </c>
      <c r="EV2" s="108" t="s">
        <v>391</v>
      </c>
      <c r="EW2" s="108" t="s">
        <v>392</v>
      </c>
      <c r="EX2" s="108" t="s">
        <v>393</v>
      </c>
      <c r="EY2" s="108" t="s">
        <v>394</v>
      </c>
      <c r="EZ2" s="108" t="s">
        <v>395</v>
      </c>
      <c r="FA2" s="108" t="s">
        <v>396</v>
      </c>
      <c r="FB2" s="108" t="s">
        <v>397</v>
      </c>
      <c r="FC2" s="108" t="s">
        <v>398</v>
      </c>
      <c r="FD2" s="108" t="s">
        <v>399</v>
      </c>
      <c r="FE2" s="108" t="s">
        <v>400</v>
      </c>
      <c r="FF2" s="108" t="s">
        <v>401</v>
      </c>
      <c r="FG2" s="108" t="s">
        <v>402</v>
      </c>
      <c r="FH2" s="108" t="s">
        <v>403</v>
      </c>
      <c r="FI2" s="108" t="s">
        <v>404</v>
      </c>
      <c r="FJ2" s="108" t="s">
        <v>405</v>
      </c>
      <c r="FK2" s="108" t="s">
        <v>406</v>
      </c>
      <c r="FL2" s="108" t="s">
        <v>407</v>
      </c>
      <c r="FM2" s="108" t="s">
        <v>408</v>
      </c>
      <c r="FN2" s="108" t="s">
        <v>409</v>
      </c>
    </row>
    <row r="3" spans="1:170" ht="13">
      <c r="C3" s="108" t="s">
        <v>15</v>
      </c>
      <c r="D3" s="111">
        <f>'01.Definición de ámbito'!C9</f>
        <v>0</v>
      </c>
      <c r="E3" s="108" t="s">
        <v>56</v>
      </c>
      <c r="F3" s="111" t="str">
        <f>'02.Tecnologías'!C10</f>
        <v>No</v>
      </c>
      <c r="G3" s="111">
        <f>'02.Tecnologías'!K13</f>
        <v>0</v>
      </c>
      <c r="H3" s="111">
        <f>'02.Tecnologías'!L13</f>
        <v>0</v>
      </c>
      <c r="I3" s="161"/>
      <c r="J3" s="161"/>
      <c r="K3" s="117" t="s">
        <v>467</v>
      </c>
      <c r="L3" s="162">
        <f>'03.Muestra'!D47</f>
        <v>11</v>
      </c>
      <c r="M3" s="108"/>
      <c r="T3" s="112">
        <f>RESULTADOS!B20</f>
        <v>1</v>
      </c>
      <c r="U3" s="112" t="str">
        <f>RESULTADOS!C20</f>
        <v>Inicio</v>
      </c>
      <c r="V3" s="112" t="str">
        <f>IF(T3&lt;&gt;"","Página web","")</f>
        <v>Página web</v>
      </c>
      <c r="W3" s="112" t="str">
        <f t="array" ref="W3:W37">IFERROR(INDEX('03.Muestra'!$E$8:$E$42,SMALL(IF("Página Web"='03.Muestra'!$D$8:$D$42,ROW('03.Muestra'!$E$8:$E$42)-MIN(ROW('03.Muestra'!$D$8:$D$42))+1,""),ROW()-2)),"")</f>
        <v>Página inicio</v>
      </c>
      <c r="X3" s="112" t="str">
        <f>RESULTADOS!D20</f>
        <v>https://www.comunidad.madrid/transparencia/</v>
      </c>
      <c r="Y3" s="112" t="str">
        <f t="array" ref="Y3:Y37">IFERROR(INDEX('03.Muestra'!$G$8:$G$42,SMALL(IF("Página Web"='03.Muestra'!$D$8:$D$42,ROW('03.Muestra'!$G$8:$GE$42)-MIN(ROW('03.Muestra'!$D$8:$D$42))+1,""),ROW()-2)),"")</f>
        <v>Inicio</v>
      </c>
      <c r="Z3" s="187">
        <f t="array" ref="Z3:Z37">IFERROR(INDEX('03.Muestra'!$H$8:$H$42,SMALL(IF("Página Web"='03.Muestra'!$D$8:$D$42,ROW('03.Muestra'!$H$8:$H$42)-MIN(ROW('03.Muestra'!$D$8:$D$42))+1,""),ROW()-2)),"")</f>
        <v>0</v>
      </c>
      <c r="AA3" s="110" t="str">
        <f ca="1">RESULTADOS!E20</f>
        <v>N/A</v>
      </c>
      <c r="AB3" s="110" t="str">
        <f ca="1">RESULTADOS!F20</f>
        <v>N/A</v>
      </c>
      <c r="AC3" s="110" t="str">
        <f ca="1">RESULTADOS!G20</f>
        <v>N/A</v>
      </c>
      <c r="AD3" s="110" t="str">
        <f ca="1">RESULTADOS!H20</f>
        <v>N/A</v>
      </c>
      <c r="AE3" s="110" t="str">
        <f ca="1">RESULTADOS!I20</f>
        <v>N/A</v>
      </c>
      <c r="AF3" s="110" t="str">
        <f ca="1">RESULTADOS!J20</f>
        <v>N/A</v>
      </c>
      <c r="AG3" s="110" t="str">
        <f ca="1">RESULTADOS!K20</f>
        <v>N/A</v>
      </c>
      <c r="AH3" s="110" t="str">
        <f ca="1">RESULTADOS!L20</f>
        <v>N/A</v>
      </c>
      <c r="AI3" s="110" t="str">
        <f ca="1">RESULTADOS!M20</f>
        <v>N/A</v>
      </c>
      <c r="AJ3" s="110" t="str">
        <f ca="1">RESULTADOS!N20</f>
        <v>N/A</v>
      </c>
      <c r="AK3" s="110" t="str">
        <f ca="1">RESULTADOS!O20</f>
        <v>N/A</v>
      </c>
      <c r="AL3" s="110" t="str">
        <f ca="1">RESULTADOS!P20</f>
        <v>N/A</v>
      </c>
      <c r="AM3" s="110" t="str">
        <f ca="1">RESULTADOS!Q20</f>
        <v>N/A</v>
      </c>
      <c r="AN3" s="110" t="str">
        <f ca="1">RESULTADOS!R20</f>
        <v>N/A</v>
      </c>
      <c r="AO3" s="110" t="str">
        <f ca="1">RESULTADOS!S20</f>
        <v>N/A</v>
      </c>
      <c r="AP3" s="110" t="str">
        <f ca="1">RESULTADOS!T20</f>
        <v>N/A</v>
      </c>
      <c r="AQ3" s="110" t="str">
        <f ca="1">RESULTADOS!U20</f>
        <v>N/A</v>
      </c>
      <c r="AR3" s="110" t="str">
        <f ca="1">RESULTADOS!V20</f>
        <v>N/A</v>
      </c>
      <c r="AS3" s="110" t="str">
        <f ca="1">RESULTADOS!W20</f>
        <v>N/A</v>
      </c>
      <c r="AT3" s="110" t="str">
        <f ca="1">RESULTADOS!X20</f>
        <v>N/A</v>
      </c>
      <c r="AU3" s="110" t="str">
        <f ca="1">RESULTADOS!Y20</f>
        <v>N/A</v>
      </c>
      <c r="AV3" s="110" t="str">
        <f ca="1">RESULTADOS!Z20</f>
        <v>N/A</v>
      </c>
      <c r="AW3" s="110" t="str">
        <f ca="1">RESULTADOS!AA20</f>
        <v>N/A</v>
      </c>
      <c r="AX3" s="110" t="str">
        <f ca="1">RESULTADOS!AB20</f>
        <v>N/A</v>
      </c>
      <c r="AY3" s="110" t="str">
        <f ca="1">RESULTADOS!AC20</f>
        <v>N/A</v>
      </c>
      <c r="AZ3" s="110" t="str">
        <f ca="1">RESULTADOS!AD20</f>
        <v>N/A</v>
      </c>
      <c r="BA3" s="110" t="str">
        <f ca="1">RESULTADOS!AE20</f>
        <v>N/A</v>
      </c>
      <c r="BB3" s="110" t="str">
        <f ca="1">RESULTADOS!AF20</f>
        <v>N/A</v>
      </c>
      <c r="BC3" s="110" t="str">
        <f ca="1">RESULTADOS!AG20</f>
        <v>N/A</v>
      </c>
      <c r="BD3" s="110" t="str">
        <f ca="1">RESULTADOS!AH20</f>
        <v>N/A</v>
      </c>
      <c r="BE3" s="110" t="str">
        <f ca="1">RESULTADOS!AI20</f>
        <v>N/A</v>
      </c>
      <c r="BF3" s="110" t="str">
        <f ca="1">RESULTADOS!AJ20</f>
        <v>Pasa</v>
      </c>
      <c r="BG3" s="110" t="str">
        <f ca="1">RESULTADOS!AK20</f>
        <v>N/A</v>
      </c>
      <c r="BH3" s="110" t="str">
        <f ca="1">RESULTADOS!AL20</f>
        <v>N/A</v>
      </c>
      <c r="BI3" s="110" t="str">
        <f ca="1">RESULTADOS!AM20</f>
        <v>N/A</v>
      </c>
      <c r="BJ3" s="110" t="str">
        <f ca="1">RESULTADOS!AN20</f>
        <v>N/A</v>
      </c>
      <c r="BK3" s="110" t="str">
        <f ca="1">RESULTADOS!AO20</f>
        <v>Falla</v>
      </c>
      <c r="BL3" s="110" t="str">
        <f ca="1">RESULTADOS!AP20</f>
        <v>Falla</v>
      </c>
      <c r="BM3" s="110" t="str">
        <f ca="1">RESULTADOS!AQ20</f>
        <v>Falla</v>
      </c>
      <c r="BN3" s="110" t="str">
        <f ca="1">RESULTADOS!AR20</f>
        <v>Pasa</v>
      </c>
      <c r="BO3" s="110" t="str">
        <f ca="1">RESULTADOS!AS20</f>
        <v>N/A</v>
      </c>
      <c r="BP3" s="110" t="str">
        <f ca="1">RESULTADOS!AT20</f>
        <v>N/A</v>
      </c>
      <c r="BQ3" s="110" t="str">
        <f ca="1">RESULTADOS!AU20</f>
        <v>N/A</v>
      </c>
      <c r="BR3" s="110" t="str">
        <f ca="1">RESULTADOS!AV20</f>
        <v>Pasa</v>
      </c>
      <c r="BS3" s="110" t="str">
        <f ca="1">RESULTADOS!AW20</f>
        <v>Falla</v>
      </c>
      <c r="BT3" s="110" t="str">
        <f ca="1">RESULTADOS!AX20</f>
        <v>N/A</v>
      </c>
      <c r="BU3" s="110" t="str">
        <f ca="1">RESULTADOS!AY20</f>
        <v>Falla</v>
      </c>
      <c r="BV3" s="110" t="str">
        <f ca="1">RESULTADOS!AZ20</f>
        <v>Falla</v>
      </c>
      <c r="BW3" s="110" t="str">
        <f ca="1">RESULTADOS!BA20</f>
        <v>Pasa</v>
      </c>
      <c r="BX3" s="110" t="str">
        <f ca="1">RESULTADOS!BB20</f>
        <v>Falla</v>
      </c>
      <c r="BY3" s="110" t="str">
        <f ca="1">RESULTADOS!BC20</f>
        <v>Pasa</v>
      </c>
      <c r="BZ3" s="110" t="str">
        <f ca="1">RESULTADOS!BD20</f>
        <v>Pasa</v>
      </c>
      <c r="CA3" s="110" t="str">
        <f ca="1">RESULTADOS!BE20</f>
        <v>N/A</v>
      </c>
      <c r="CB3" s="110" t="str">
        <f ca="1">RESULTADOS!BF20</f>
        <v>N/A</v>
      </c>
      <c r="CC3" s="110" t="str">
        <f ca="1">RESULTADOS!BG20</f>
        <v>N/A</v>
      </c>
      <c r="CD3" s="110" t="str">
        <f ca="1">RESULTADOS!BH20</f>
        <v>N/A</v>
      </c>
      <c r="CE3" s="110" t="str">
        <f ca="1">RESULTADOS!BI20</f>
        <v>N/A</v>
      </c>
      <c r="CF3" s="110" t="str">
        <f ca="1">RESULTADOS!BJ20</f>
        <v>Pasa</v>
      </c>
      <c r="CG3" s="110" t="str">
        <f ca="1">RESULTADOS!BK20</f>
        <v>Pasa</v>
      </c>
      <c r="CH3" s="110" t="str">
        <f ca="1">RESULTADOS!BL20</f>
        <v>Pasa</v>
      </c>
      <c r="CI3" s="110" t="str">
        <f ca="1">RESULTADOS!BM20</f>
        <v>Pasa</v>
      </c>
      <c r="CJ3" s="110" t="str">
        <f ca="1">RESULTADOS!BN20</f>
        <v>Pasa</v>
      </c>
      <c r="CK3" s="110" t="str">
        <f ca="1">RESULTADOS!BO20</f>
        <v>Pasa</v>
      </c>
      <c r="CL3" s="110" t="str">
        <f ca="1">RESULTADOS!BP20</f>
        <v>N/A</v>
      </c>
      <c r="CM3" s="110" t="str">
        <f ca="1">RESULTADOS!BQ20</f>
        <v>N/A</v>
      </c>
      <c r="CN3" s="110" t="str">
        <f ca="1">RESULTADOS!BR20</f>
        <v>Pasa</v>
      </c>
      <c r="CO3" s="110" t="str">
        <f ca="1">RESULTADOS!BS20</f>
        <v>N/A</v>
      </c>
      <c r="CP3" s="110" t="str">
        <f ca="1">RESULTADOS!BT20</f>
        <v>Pasa</v>
      </c>
      <c r="CQ3" s="110" t="str">
        <f ca="1">RESULTADOS!BU20</f>
        <v>N/A</v>
      </c>
      <c r="CR3" s="110" t="str">
        <f ca="1">RESULTADOS!BV20</f>
        <v>Pasa</v>
      </c>
      <c r="CS3" s="110" t="str">
        <f ca="1">RESULTADOS!BW20</f>
        <v>Pasa</v>
      </c>
      <c r="CT3" s="110" t="str">
        <f ca="1">RESULTADOS!BX20</f>
        <v>Pasa</v>
      </c>
      <c r="CU3" s="110" t="str">
        <f ca="1">RESULTADOS!BY20</f>
        <v>Pasa</v>
      </c>
      <c r="CV3" s="110" t="str">
        <f ca="1">RESULTADOS!BZ20</f>
        <v>N/A</v>
      </c>
      <c r="CW3" s="110" t="str">
        <f ca="1">RESULTADOS!CA20</f>
        <v>Falla</v>
      </c>
      <c r="CX3" s="110" t="str">
        <f ca="1">RESULTADOS!CB20</f>
        <v>N/A</v>
      </c>
      <c r="CY3" s="110" t="str">
        <f ca="1">RESULTADOS!CC20</f>
        <v>N/A</v>
      </c>
      <c r="CZ3" s="110" t="str">
        <f ca="1">RESULTADOS!CD20</f>
        <v>Pasa</v>
      </c>
      <c r="DA3" s="110" t="str">
        <f ca="1">RESULTADOS!CE20</f>
        <v>Falla</v>
      </c>
      <c r="DB3" s="110" t="str">
        <f ca="1">RESULTADOS!CF20</f>
        <v>N/A</v>
      </c>
      <c r="DC3" s="110" t="str">
        <f ca="1">RESULTADOS!CG20</f>
        <v>Falla</v>
      </c>
      <c r="DD3" s="110" t="str">
        <f ca="1">RESULTADOS!CH20</f>
        <v>N/A</v>
      </c>
      <c r="DE3" s="110" t="str">
        <f ca="1">RESULTADOS!CI20</f>
        <v>N/A</v>
      </c>
      <c r="DF3" s="110" t="str">
        <f ca="1">RESULTADOS!CJ20</f>
        <v>N/A</v>
      </c>
      <c r="DG3" s="110" t="str">
        <f ca="1">RESULTADOS!CK20</f>
        <v>N/A</v>
      </c>
      <c r="DH3" s="110" t="str">
        <f ca="1">RESULTADOS!CL20</f>
        <v>N/A</v>
      </c>
      <c r="DI3" s="110" t="str">
        <f ca="1">RESULTADOS!CM20</f>
        <v>N/A</v>
      </c>
      <c r="DJ3" s="110" t="str">
        <f ca="1">RESULTADOS!CN20</f>
        <v>Pasa</v>
      </c>
      <c r="DK3" s="110" t="str">
        <f ca="1">RESULTADOS!CO20</f>
        <v>Falla</v>
      </c>
      <c r="DL3" s="110" t="str">
        <f ca="1">RESULTADOS!CP20</f>
        <v>Falla</v>
      </c>
      <c r="DM3" s="110" t="str">
        <f ca="1">RESULTADOS!CQ20</f>
        <v>Pasa</v>
      </c>
      <c r="DN3" s="110" t="str">
        <f ca="1">RESULTADOS!CR20</f>
        <v>Falla</v>
      </c>
      <c r="DO3" s="112" t="str">
        <f>RESULTADOS!B61</f>
        <v/>
      </c>
      <c r="DP3" s="112" t="str">
        <f>RESULTADOS!C61</f>
        <v/>
      </c>
      <c r="DQ3" s="112" t="str">
        <f>IF(DO3&lt;&gt;"","Documento no web","")</f>
        <v/>
      </c>
      <c r="DR3" s="112" t="str" cm="1">
        <f t="array" ref="DR3">IFERROR(INDEX('03.Muestra'!$E$8:$E$42,SMALL(IF("Documento no web"='03.Muestra'!$D$8:$D$42,ROW('03.Muestra'!$E$8:$E$42)-MIN(ROW('03.Muestra'!$D$8:$D$42))+1,""),ROW()-2)),"")</f>
        <v/>
      </c>
      <c r="DS3" s="112" t="str">
        <f>RESULTADOS!D61</f>
        <v/>
      </c>
      <c r="DT3" s="112" t="str" cm="1">
        <f t="array" ref="DT3">IFERROR(INDEX('03.Muestra'!$G$8:$G$42,SMALL(IF("Documento no web"='03.Muestra'!$D$8:$D$42,ROW('03.Muestra'!$G$8:$G$42)-MIN(ROW('03.Muestra'!$D$8:$D$42))+1,""),ROW()-2)),"")</f>
        <v/>
      </c>
      <c r="DU3" s="187" t="str" cm="1">
        <f t="array" ref="DU3">IFERROR(INDEX('03.Muestra'!$H$8:$H$42,SMALL(IF("Documento no web"='03.Muestra'!$D$8:$D$42,ROW('03.Muestra'!$H$8:$H$42)-MIN(ROW('03.Muestra'!$D$8:$D$42))+1,""),ROW()-2)),"")</f>
        <v/>
      </c>
      <c r="DV3" s="110" t="str">
        <f ca="1">RESULTADOS!E61</f>
        <v/>
      </c>
      <c r="DW3" s="110" t="str">
        <f ca="1">RESULTADOS!F61</f>
        <v/>
      </c>
      <c r="DX3" s="110" t="str">
        <f ca="1">RESULTADOS!G61</f>
        <v/>
      </c>
      <c r="DY3" s="110" t="str">
        <f ca="1">RESULTADOS!H61</f>
        <v/>
      </c>
      <c r="DZ3" s="110" t="str">
        <f ca="1">RESULTADOS!I61</f>
        <v/>
      </c>
      <c r="EA3" s="110" t="str">
        <f ca="1">RESULTADOS!J61</f>
        <v/>
      </c>
      <c r="EB3" s="110" t="str">
        <f ca="1">RESULTADOS!K61</f>
        <v/>
      </c>
      <c r="EC3" s="110" t="str">
        <f ca="1">RESULTADOS!L61</f>
        <v/>
      </c>
      <c r="ED3" s="110" t="str">
        <f ca="1">RESULTADOS!M61</f>
        <v/>
      </c>
      <c r="EE3" s="110" t="str">
        <f ca="1">RESULTADOS!N61</f>
        <v/>
      </c>
      <c r="EF3" s="110" t="str">
        <f ca="1">RESULTADOS!O61</f>
        <v/>
      </c>
      <c r="EG3" s="110" t="str">
        <f ca="1">RESULTADOS!P61</f>
        <v/>
      </c>
      <c r="EH3" s="110" t="str">
        <f ca="1">RESULTADOS!Q61</f>
        <v/>
      </c>
      <c r="EI3" s="110" t="str">
        <f ca="1">RESULTADOS!R61</f>
        <v/>
      </c>
      <c r="EJ3" s="110" t="str">
        <f ca="1">RESULTADOS!S61</f>
        <v/>
      </c>
      <c r="EK3" s="110" t="str">
        <f ca="1">RESULTADOS!T61</f>
        <v/>
      </c>
      <c r="EL3" s="110" t="str">
        <f ca="1">RESULTADOS!U61</f>
        <v/>
      </c>
      <c r="EM3" s="110" t="str">
        <f ca="1">RESULTADOS!V61</f>
        <v/>
      </c>
      <c r="EN3" s="110" t="str">
        <f ca="1">RESULTADOS!W61</f>
        <v/>
      </c>
      <c r="EO3" s="110" t="str">
        <f ca="1">RESULTADOS!X61</f>
        <v/>
      </c>
      <c r="EP3" s="110" t="str">
        <f ca="1">RESULTADOS!Y61</f>
        <v/>
      </c>
      <c r="EQ3" s="110" t="str">
        <f ca="1">RESULTADOS!Z61</f>
        <v/>
      </c>
      <c r="ER3" s="110" t="str">
        <f ca="1">RESULTADOS!AA61</f>
        <v/>
      </c>
      <c r="ES3" s="110" t="str">
        <f ca="1">RESULTADOS!AB61</f>
        <v/>
      </c>
      <c r="ET3" s="110" t="str">
        <f ca="1">RESULTADOS!AC61</f>
        <v/>
      </c>
      <c r="EU3" s="110" t="str">
        <f ca="1">RESULTADOS!AD61</f>
        <v/>
      </c>
      <c r="EV3" s="110" t="str">
        <f ca="1">RESULTADOS!AE61</f>
        <v/>
      </c>
      <c r="EW3" s="110" t="str">
        <f ca="1">RESULTADOS!AF61</f>
        <v/>
      </c>
      <c r="EX3" s="110" t="str">
        <f ca="1">RESULTADOS!AG61</f>
        <v/>
      </c>
      <c r="EY3" s="110" t="str">
        <f ca="1">RESULTADOS!AH61</f>
        <v/>
      </c>
      <c r="EZ3" s="110" t="str">
        <f ca="1">RESULTADOS!AI61</f>
        <v/>
      </c>
      <c r="FA3" s="110" t="str">
        <f ca="1">RESULTADOS!AJ61</f>
        <v/>
      </c>
      <c r="FB3" s="110" t="str">
        <f ca="1">RESULTADOS!AK61</f>
        <v/>
      </c>
      <c r="FC3" s="110" t="str">
        <f ca="1">RESULTADOS!AL61</f>
        <v/>
      </c>
      <c r="FD3" s="110" t="str">
        <f ca="1">RESULTADOS!AM61</f>
        <v/>
      </c>
      <c r="FE3" s="110" t="str">
        <f ca="1">RESULTADOS!AN61</f>
        <v/>
      </c>
      <c r="FF3" s="110" t="str">
        <f ca="1">RESULTADOS!AO61</f>
        <v/>
      </c>
      <c r="FG3" s="110" t="str">
        <f ca="1">RESULTADOS!AP61</f>
        <v/>
      </c>
      <c r="FH3" s="110" t="str">
        <f ca="1">RESULTADOS!AQ61</f>
        <v/>
      </c>
      <c r="FI3" s="110" t="str">
        <f ca="1">RESULTADOS!AR61</f>
        <v/>
      </c>
      <c r="FJ3" s="110" t="str">
        <f ca="1">RESULTADOS!AS61</f>
        <v/>
      </c>
      <c r="FK3" s="110" t="str">
        <f ca="1">RESULTADOS!AT61</f>
        <v/>
      </c>
      <c r="FL3" s="110" t="str">
        <f ca="1">RESULTADOS!AU61</f>
        <v/>
      </c>
      <c r="FM3" s="110" t="str">
        <f ca="1">RESULTADOS!AV61</f>
        <v/>
      </c>
      <c r="FN3" s="110" t="str">
        <f ca="1">RESULTADOS!AW61</f>
        <v/>
      </c>
    </row>
    <row r="4" spans="1:170" ht="13">
      <c r="C4" s="108" t="s">
        <v>16</v>
      </c>
      <c r="D4" s="111">
        <f>'01.Definición de ámbito'!C11</f>
        <v>0</v>
      </c>
      <c r="E4" s="108" t="s">
        <v>59</v>
      </c>
      <c r="F4" s="111" t="str">
        <f>'02.Tecnologías'!C11</f>
        <v>No</v>
      </c>
      <c r="G4" s="111">
        <f>'02.Tecnologías'!K14</f>
        <v>0</v>
      </c>
      <c r="H4" s="111">
        <f>'02.Tecnologías'!L14</f>
        <v>0</v>
      </c>
      <c r="I4" s="161"/>
      <c r="J4" s="161"/>
      <c r="K4" s="117" t="s">
        <v>468</v>
      </c>
      <c r="L4" s="162">
        <f>'03.Muestra'!D49</f>
        <v>3</v>
      </c>
      <c r="M4" s="108"/>
      <c r="T4" s="112">
        <f>RESULTADOS!B21</f>
        <v>2</v>
      </c>
      <c r="U4" s="112" t="str">
        <f>RESULTADOS!C21</f>
        <v>Aviso legal</v>
      </c>
      <c r="V4" s="112" t="str">
        <f t="shared" ref="V4:V37" si="0">IF(T4&lt;&gt;"","Página web","")</f>
        <v>Página web</v>
      </c>
      <c r="W4" s="112" t="str">
        <v>Legal</v>
      </c>
      <c r="X4" s="112" t="str">
        <f>RESULTADOS!D21</f>
        <v>https://www.comunidad.madrid/transparencia/aviso-legal</v>
      </c>
      <c r="Y4" s="112" t="str">
        <v>Inicio - Aviso Legal</v>
      </c>
      <c r="Z4" s="187">
        <v>0</v>
      </c>
      <c r="AA4" s="110" t="str">
        <f ca="1">RESULTADOS!E21</f>
        <v>N/A</v>
      </c>
      <c r="AB4" s="110" t="str">
        <f ca="1">RESULTADOS!F21</f>
        <v>N/A</v>
      </c>
      <c r="AC4" s="110" t="str">
        <f ca="1">RESULTADOS!G21</f>
        <v>N/A</v>
      </c>
      <c r="AD4" s="110" t="str">
        <f ca="1">RESULTADOS!H21</f>
        <v>N/A</v>
      </c>
      <c r="AE4" s="110" t="str">
        <f ca="1">RESULTADOS!I21</f>
        <v>N/A</v>
      </c>
      <c r="AF4" s="110" t="str">
        <f ca="1">RESULTADOS!J21</f>
        <v>N/A</v>
      </c>
      <c r="AG4" s="110" t="str">
        <f ca="1">RESULTADOS!K21</f>
        <v>N/A</v>
      </c>
      <c r="AH4" s="110" t="str">
        <f ca="1">RESULTADOS!L21</f>
        <v>N/A</v>
      </c>
      <c r="AI4" s="110" t="str">
        <f ca="1">RESULTADOS!M21</f>
        <v>N/A</v>
      </c>
      <c r="AJ4" s="110" t="str">
        <f ca="1">RESULTADOS!N21</f>
        <v>N/A</v>
      </c>
      <c r="AK4" s="110" t="str">
        <f ca="1">RESULTADOS!O21</f>
        <v>N/A</v>
      </c>
      <c r="AL4" s="110" t="str">
        <f ca="1">RESULTADOS!P21</f>
        <v>N/A</v>
      </c>
      <c r="AM4" s="110" t="str">
        <f ca="1">RESULTADOS!Q21</f>
        <v>N/A</v>
      </c>
      <c r="AN4" s="110" t="str">
        <f ca="1">RESULTADOS!R21</f>
        <v>N/A</v>
      </c>
      <c r="AO4" s="110" t="str">
        <f ca="1">RESULTADOS!S21</f>
        <v>N/A</v>
      </c>
      <c r="AP4" s="110" t="str">
        <f ca="1">RESULTADOS!T21</f>
        <v>N/A</v>
      </c>
      <c r="AQ4" s="110" t="str">
        <f ca="1">RESULTADOS!U21</f>
        <v>N/A</v>
      </c>
      <c r="AR4" s="110" t="str">
        <f ca="1">RESULTADOS!V21</f>
        <v>N/A</v>
      </c>
      <c r="AS4" s="110" t="str">
        <f ca="1">RESULTADOS!W21</f>
        <v>N/A</v>
      </c>
      <c r="AT4" s="110" t="str">
        <f ca="1">RESULTADOS!X21</f>
        <v>N/A</v>
      </c>
      <c r="AU4" s="110" t="str">
        <f ca="1">RESULTADOS!Y21</f>
        <v>N/A</v>
      </c>
      <c r="AV4" s="110" t="str">
        <f ca="1">RESULTADOS!Z21</f>
        <v>N/A</v>
      </c>
      <c r="AW4" s="110" t="str">
        <f ca="1">RESULTADOS!AA21</f>
        <v>N/A</v>
      </c>
      <c r="AX4" s="110" t="str">
        <f ca="1">RESULTADOS!AB21</f>
        <v>N/A</v>
      </c>
      <c r="AY4" s="110" t="str">
        <f ca="1">RESULTADOS!AC21</f>
        <v>N/A</v>
      </c>
      <c r="AZ4" s="110" t="str">
        <f ca="1">RESULTADOS!AD21</f>
        <v>N/A</v>
      </c>
      <c r="BA4" s="110" t="str">
        <f ca="1">RESULTADOS!AE21</f>
        <v>N/A</v>
      </c>
      <c r="BB4" s="110" t="str">
        <f ca="1">RESULTADOS!AF21</f>
        <v>N/A</v>
      </c>
      <c r="BC4" s="110" t="str">
        <f ca="1">RESULTADOS!AG21</f>
        <v>N/A</v>
      </c>
      <c r="BD4" s="110" t="str">
        <f ca="1">RESULTADOS!AH21</f>
        <v>N/A</v>
      </c>
      <c r="BE4" s="110" t="str">
        <f ca="1">RESULTADOS!AI21</f>
        <v>N/A</v>
      </c>
      <c r="BF4" s="110" t="str">
        <f ca="1">RESULTADOS!AJ21</f>
        <v>Pasa</v>
      </c>
      <c r="BG4" s="110" t="str">
        <f ca="1">RESULTADOS!AK21</f>
        <v>N/A</v>
      </c>
      <c r="BH4" s="110" t="str">
        <f ca="1">RESULTADOS!AL21</f>
        <v>N/A</v>
      </c>
      <c r="BI4" s="110" t="str">
        <f ca="1">RESULTADOS!AM21</f>
        <v>N/A</v>
      </c>
      <c r="BJ4" s="110" t="str">
        <f ca="1">RESULTADOS!AN21</f>
        <v>N/A</v>
      </c>
      <c r="BK4" s="110" t="str">
        <f ca="1">RESULTADOS!AO21</f>
        <v>Pasa</v>
      </c>
      <c r="BL4" s="110" t="str">
        <f ca="1">RESULTADOS!AP21</f>
        <v>Falla</v>
      </c>
      <c r="BM4" s="110" t="str">
        <f ca="1">RESULTADOS!AQ21</f>
        <v>Falla</v>
      </c>
      <c r="BN4" s="110" t="str">
        <f ca="1">RESULTADOS!AR21</f>
        <v>Pasa</v>
      </c>
      <c r="BO4" s="110" t="str">
        <f ca="1">RESULTADOS!AS21</f>
        <v>N/A</v>
      </c>
      <c r="BP4" s="110" t="str">
        <f ca="1">RESULTADOS!AT21</f>
        <v>N/A</v>
      </c>
      <c r="BQ4" s="110" t="str">
        <f ca="1">RESULTADOS!AU21</f>
        <v>N/A</v>
      </c>
      <c r="BR4" s="110" t="str">
        <f ca="1">RESULTADOS!AV21</f>
        <v>Pasa</v>
      </c>
      <c r="BS4" s="110" t="str">
        <f ca="1">RESULTADOS!AW21</f>
        <v>Falla</v>
      </c>
      <c r="BT4" s="110" t="str">
        <f ca="1">RESULTADOS!AX21</f>
        <v>N/A</v>
      </c>
      <c r="BU4" s="110" t="str">
        <f ca="1">RESULTADOS!AY21</f>
        <v>Falla</v>
      </c>
      <c r="BV4" s="110" t="str">
        <f ca="1">RESULTADOS!AZ21</f>
        <v>Falla</v>
      </c>
      <c r="BW4" s="110" t="str">
        <f ca="1">RESULTADOS!BA21</f>
        <v>Pasa</v>
      </c>
      <c r="BX4" s="110" t="str">
        <f ca="1">RESULTADOS!BB21</f>
        <v>Falla</v>
      </c>
      <c r="BY4" s="110" t="str">
        <f ca="1">RESULTADOS!BC21</f>
        <v>Pasa</v>
      </c>
      <c r="BZ4" s="110" t="str">
        <f ca="1">RESULTADOS!BD21</f>
        <v>Pasa</v>
      </c>
      <c r="CA4" s="110" t="str">
        <f ca="1">RESULTADOS!BE21</f>
        <v>N/A</v>
      </c>
      <c r="CB4" s="110" t="str">
        <f ca="1">RESULTADOS!BF21</f>
        <v>N/A</v>
      </c>
      <c r="CC4" s="110" t="str">
        <f ca="1">RESULTADOS!BG21</f>
        <v>N/A</v>
      </c>
      <c r="CD4" s="110" t="str">
        <f ca="1">RESULTADOS!BH21</f>
        <v>N/A</v>
      </c>
      <c r="CE4" s="110" t="str">
        <f ca="1">RESULTADOS!BI21</f>
        <v>N/A</v>
      </c>
      <c r="CF4" s="110" t="str">
        <f ca="1">RESULTADOS!BJ21</f>
        <v>Pasa</v>
      </c>
      <c r="CG4" s="110" t="str">
        <f ca="1">RESULTADOS!BK21</f>
        <v>Pasa</v>
      </c>
      <c r="CH4" s="110" t="str">
        <f ca="1">RESULTADOS!BL21</f>
        <v>Pasa</v>
      </c>
      <c r="CI4" s="110" t="str">
        <f ca="1">RESULTADOS!BM21</f>
        <v>Pasa</v>
      </c>
      <c r="CJ4" s="110" t="str">
        <f ca="1">RESULTADOS!BN21</f>
        <v>Pasa</v>
      </c>
      <c r="CK4" s="110" t="str">
        <f ca="1">RESULTADOS!BO21</f>
        <v>Pasa</v>
      </c>
      <c r="CL4" s="110" t="str">
        <f ca="1">RESULTADOS!BP21</f>
        <v>N/A</v>
      </c>
      <c r="CM4" s="110" t="str">
        <f ca="1">RESULTADOS!BQ21</f>
        <v>N/A</v>
      </c>
      <c r="CN4" s="110" t="str">
        <f ca="1">RESULTADOS!BR21</f>
        <v>Pasa</v>
      </c>
      <c r="CO4" s="110" t="str">
        <f ca="1">RESULTADOS!BS21</f>
        <v>N/A</v>
      </c>
      <c r="CP4" s="110" t="str">
        <f ca="1">RESULTADOS!BT21</f>
        <v>Pasa</v>
      </c>
      <c r="CQ4" s="110" t="str">
        <f ca="1">RESULTADOS!BU21</f>
        <v>N/A</v>
      </c>
      <c r="CR4" s="110" t="str">
        <f ca="1">RESULTADOS!BV21</f>
        <v>Pasa</v>
      </c>
      <c r="CS4" s="110" t="str">
        <f ca="1">RESULTADOS!BW21</f>
        <v>Pasa</v>
      </c>
      <c r="CT4" s="110" t="str">
        <f ca="1">RESULTADOS!BX21</f>
        <v>Pasa</v>
      </c>
      <c r="CU4" s="110" t="str">
        <f ca="1">RESULTADOS!BY21</f>
        <v>Pasa</v>
      </c>
      <c r="CV4" s="110" t="str">
        <f ca="1">RESULTADOS!BZ21</f>
        <v>N/A</v>
      </c>
      <c r="CW4" s="110" t="str">
        <f ca="1">RESULTADOS!CA21</f>
        <v>Pasa</v>
      </c>
      <c r="CX4" s="110" t="str">
        <f ca="1">RESULTADOS!CB21</f>
        <v>N/A</v>
      </c>
      <c r="CY4" s="110" t="str">
        <f ca="1">RESULTADOS!CC21</f>
        <v>N/A</v>
      </c>
      <c r="CZ4" s="110" t="str">
        <f ca="1">RESULTADOS!CD21</f>
        <v>Pasa</v>
      </c>
      <c r="DA4" s="110" t="str">
        <f ca="1">RESULTADOS!CE21</f>
        <v>Pasa</v>
      </c>
      <c r="DB4" s="110" t="str">
        <f ca="1">RESULTADOS!CF21</f>
        <v>N/A</v>
      </c>
      <c r="DC4" s="110" t="str">
        <f ca="1">RESULTADOS!CG21</f>
        <v>Falla</v>
      </c>
      <c r="DD4" s="110" t="str">
        <f ca="1">RESULTADOS!CH21</f>
        <v>N/A</v>
      </c>
      <c r="DE4" s="110" t="str">
        <f ca="1">RESULTADOS!CI21</f>
        <v>N/A</v>
      </c>
      <c r="DF4" s="110" t="str">
        <f ca="1">RESULTADOS!CJ21</f>
        <v>N/A</v>
      </c>
      <c r="DG4" s="110" t="str">
        <f ca="1">RESULTADOS!CK21</f>
        <v>N/A</v>
      </c>
      <c r="DH4" s="110" t="str">
        <f ca="1">RESULTADOS!CL21</f>
        <v>N/A</v>
      </c>
      <c r="DI4" s="110" t="str">
        <f ca="1">RESULTADOS!CM21</f>
        <v>N/A</v>
      </c>
      <c r="DJ4" s="110" t="str">
        <f ca="1">RESULTADOS!CN21</f>
        <v>Pasa</v>
      </c>
      <c r="DK4" s="110" t="str">
        <f ca="1">RESULTADOS!CO21</f>
        <v>Falla</v>
      </c>
      <c r="DL4" s="110" t="str">
        <f ca="1">RESULTADOS!CP21</f>
        <v>Falla</v>
      </c>
      <c r="DM4" s="110" t="str">
        <f ca="1">RESULTADOS!CQ21</f>
        <v>Pasa</v>
      </c>
      <c r="DN4" s="110" t="str">
        <f ca="1">RESULTADOS!CR21</f>
        <v>Falla</v>
      </c>
      <c r="DO4" s="112" t="str">
        <f>RESULTADOS!B62</f>
        <v/>
      </c>
      <c r="DP4" s="112" t="str">
        <f>RESULTADOS!C62</f>
        <v/>
      </c>
      <c r="DQ4" s="112" t="str">
        <f t="shared" ref="DQ4:DQ37" si="1">IF(DO4&lt;&gt;"","Documento no web","")</f>
        <v/>
      </c>
      <c r="DR4" s="112" t="str" cm="1">
        <f t="array" ref="DR4">IFERROR(INDEX('03.Muestra'!$E$8:$E$42,SMALL(IF("Documento no web"='03.Muestra'!$D$8:$D$42,ROW('03.Muestra'!$E$8:$E$42)-MIN(ROW('03.Muestra'!$D$8:$D$42))+1,""),ROW()-2)),"")</f>
        <v/>
      </c>
      <c r="DS4" s="112" t="str">
        <f>RESULTADOS!D62</f>
        <v/>
      </c>
      <c r="DT4" s="112" t="str" cm="1">
        <f t="array" ref="DT4">IFERROR(INDEX('03.Muestra'!$G$8:$G$42,SMALL(IF("Documento no web"='03.Muestra'!$D$8:$D$42,ROW('03.Muestra'!$G$8:$G$42)-MIN(ROW('03.Muestra'!$D$8:$D$42))+1,""),ROW()-2)),"")</f>
        <v/>
      </c>
      <c r="DU4" s="187" t="str" cm="1">
        <f t="array" ref="DU4">IFERROR(INDEX('03.Muestra'!$H$8:$H$42,SMALL(IF("Documento no web"='03.Muestra'!$D$8:$D$42,ROW('03.Muestra'!$H$8:$H$42)-MIN(ROW('03.Muestra'!$D$8:$D$42))+1,""),ROW()-2)),"")</f>
        <v/>
      </c>
      <c r="DV4" s="110" t="str">
        <f ca="1">RESULTADOS!E62</f>
        <v/>
      </c>
      <c r="DW4" s="110" t="str">
        <f ca="1">RESULTADOS!F62</f>
        <v/>
      </c>
      <c r="DX4" s="110" t="str">
        <f ca="1">RESULTADOS!G62</f>
        <v/>
      </c>
      <c r="DY4" s="110" t="str">
        <f ca="1">RESULTADOS!H62</f>
        <v/>
      </c>
      <c r="DZ4" s="110" t="str">
        <f ca="1">RESULTADOS!I62</f>
        <v/>
      </c>
      <c r="EA4" s="110" t="str">
        <f ca="1">RESULTADOS!J62</f>
        <v/>
      </c>
      <c r="EB4" s="110" t="str">
        <f ca="1">RESULTADOS!K62</f>
        <v/>
      </c>
      <c r="EC4" s="110" t="str">
        <f ca="1">RESULTADOS!L62</f>
        <v/>
      </c>
      <c r="ED4" s="110" t="str">
        <f ca="1">RESULTADOS!M62</f>
        <v/>
      </c>
      <c r="EE4" s="110" t="str">
        <f ca="1">RESULTADOS!N62</f>
        <v/>
      </c>
      <c r="EF4" s="110" t="str">
        <f ca="1">RESULTADOS!O62</f>
        <v/>
      </c>
      <c r="EG4" s="110" t="str">
        <f ca="1">RESULTADOS!P62</f>
        <v/>
      </c>
      <c r="EH4" s="110" t="str">
        <f ca="1">RESULTADOS!Q62</f>
        <v/>
      </c>
      <c r="EI4" s="110" t="str">
        <f ca="1">RESULTADOS!R62</f>
        <v/>
      </c>
      <c r="EJ4" s="110" t="str">
        <f ca="1">RESULTADOS!S62</f>
        <v/>
      </c>
      <c r="EK4" s="110" t="str">
        <f ca="1">RESULTADOS!T62</f>
        <v/>
      </c>
      <c r="EL4" s="110" t="str">
        <f ca="1">RESULTADOS!U62</f>
        <v/>
      </c>
      <c r="EM4" s="110" t="str">
        <f ca="1">RESULTADOS!V62</f>
        <v/>
      </c>
      <c r="EN4" s="110" t="str">
        <f ca="1">RESULTADOS!W62</f>
        <v/>
      </c>
      <c r="EO4" s="110" t="str">
        <f ca="1">RESULTADOS!X62</f>
        <v/>
      </c>
      <c r="EP4" s="110" t="str">
        <f ca="1">RESULTADOS!Y62</f>
        <v/>
      </c>
      <c r="EQ4" s="110" t="str">
        <f ca="1">RESULTADOS!Z62</f>
        <v/>
      </c>
      <c r="ER4" s="110" t="str">
        <f ca="1">RESULTADOS!AA62</f>
        <v/>
      </c>
      <c r="ES4" s="110" t="str">
        <f ca="1">RESULTADOS!AB62</f>
        <v/>
      </c>
      <c r="ET4" s="110" t="str">
        <f ca="1">RESULTADOS!AC62</f>
        <v/>
      </c>
      <c r="EU4" s="110" t="str">
        <f ca="1">RESULTADOS!AD62</f>
        <v/>
      </c>
      <c r="EV4" s="110" t="str">
        <f ca="1">RESULTADOS!AE62</f>
        <v/>
      </c>
      <c r="EW4" s="110" t="str">
        <f ca="1">RESULTADOS!AF62</f>
        <v/>
      </c>
      <c r="EX4" s="110" t="str">
        <f ca="1">RESULTADOS!AG62</f>
        <v/>
      </c>
      <c r="EY4" s="110" t="str">
        <f ca="1">RESULTADOS!AH62</f>
        <v/>
      </c>
      <c r="EZ4" s="110" t="str">
        <f ca="1">RESULTADOS!AI62</f>
        <v/>
      </c>
      <c r="FA4" s="110" t="str">
        <f ca="1">RESULTADOS!AJ62</f>
        <v/>
      </c>
      <c r="FB4" s="110" t="str">
        <f ca="1">RESULTADOS!AK62</f>
        <v/>
      </c>
      <c r="FC4" s="110" t="str">
        <f ca="1">RESULTADOS!AL62</f>
        <v/>
      </c>
      <c r="FD4" s="110" t="str">
        <f ca="1">RESULTADOS!AM62</f>
        <v/>
      </c>
      <c r="FE4" s="110" t="str">
        <f ca="1">RESULTADOS!AN62</f>
        <v/>
      </c>
      <c r="FF4" s="110" t="str">
        <f ca="1">RESULTADOS!AO62</f>
        <v/>
      </c>
      <c r="FG4" s="110" t="str">
        <f ca="1">RESULTADOS!AP62</f>
        <v/>
      </c>
      <c r="FH4" s="110" t="str">
        <f ca="1">RESULTADOS!AQ62</f>
        <v/>
      </c>
      <c r="FI4" s="110" t="str">
        <f ca="1">RESULTADOS!AR62</f>
        <v/>
      </c>
      <c r="FJ4" s="110" t="str">
        <f ca="1">RESULTADOS!AS62</f>
        <v/>
      </c>
      <c r="FK4" s="110" t="str">
        <f ca="1">RESULTADOS!AT62</f>
        <v/>
      </c>
      <c r="FL4" s="110" t="str">
        <f ca="1">RESULTADOS!AU62</f>
        <v/>
      </c>
      <c r="FM4" s="110" t="str">
        <f ca="1">RESULTADOS!AV62</f>
        <v/>
      </c>
      <c r="FN4" s="110" t="str">
        <f ca="1">RESULTADOS!AW62</f>
        <v/>
      </c>
    </row>
    <row r="5" spans="1:170" ht="13">
      <c r="C5" s="108" t="s">
        <v>17</v>
      </c>
      <c r="D5" s="111">
        <f>'01.Definición de ámbito'!C13</f>
        <v>0</v>
      </c>
      <c r="E5" s="108" t="s">
        <v>62</v>
      </c>
      <c r="F5" s="111" t="str">
        <f>'02.Tecnologías'!C12</f>
        <v>Sí</v>
      </c>
      <c r="G5" s="111">
        <f>'02.Tecnologías'!K15</f>
        <v>0</v>
      </c>
      <c r="H5" s="111">
        <f>'02.Tecnologías'!L15</f>
        <v>0</v>
      </c>
      <c r="I5" s="161"/>
      <c r="J5" s="161"/>
      <c r="K5" s="117" t="s">
        <v>469</v>
      </c>
      <c r="L5" s="162" t="str">
        <f>'03.Muestra'!D52</f>
        <v>SI</v>
      </c>
      <c r="M5" s="108"/>
      <c r="T5" s="112">
        <f>RESULTADOS!B22</f>
        <v>3</v>
      </c>
      <c r="U5" s="112" t="str">
        <f>RESULTADOS!C22</f>
        <v>Accesibilidad</v>
      </c>
      <c r="V5" s="112" t="str">
        <f t="shared" si="0"/>
        <v>Página web</v>
      </c>
      <c r="W5" s="112" t="str">
        <v>Declaración accesibilidad</v>
      </c>
      <c r="X5" s="112" t="str">
        <f>RESULTADOS!D22</f>
        <v>https://www.comunidad.madrid/transparencia/declaracion-accesibilidad</v>
      </c>
      <c r="Y5" s="112" t="str">
        <v>Inicio - Declaracion de accesibilidad</v>
      </c>
      <c r="Z5" s="187">
        <v>0</v>
      </c>
      <c r="AA5" s="110" t="str">
        <f ca="1">RESULTADOS!E22</f>
        <v>N/A</v>
      </c>
      <c r="AB5" s="110" t="str">
        <f ca="1">RESULTADOS!F22</f>
        <v>N/A</v>
      </c>
      <c r="AC5" s="110" t="str">
        <f ca="1">RESULTADOS!G22</f>
        <v>N/A</v>
      </c>
      <c r="AD5" s="110" t="str">
        <f ca="1">RESULTADOS!H22</f>
        <v>N/A</v>
      </c>
      <c r="AE5" s="110" t="str">
        <f ca="1">RESULTADOS!I22</f>
        <v>N/A</v>
      </c>
      <c r="AF5" s="110" t="str">
        <f ca="1">RESULTADOS!J22</f>
        <v>N/A</v>
      </c>
      <c r="AG5" s="110" t="str">
        <f ca="1">RESULTADOS!K22</f>
        <v>N/A</v>
      </c>
      <c r="AH5" s="110" t="str">
        <f ca="1">RESULTADOS!L22</f>
        <v>N/A</v>
      </c>
      <c r="AI5" s="110" t="str">
        <f ca="1">RESULTADOS!M22</f>
        <v>N/A</v>
      </c>
      <c r="AJ5" s="110" t="str">
        <f ca="1">RESULTADOS!N22</f>
        <v>N/A</v>
      </c>
      <c r="AK5" s="110" t="str">
        <f ca="1">RESULTADOS!O22</f>
        <v>N/A</v>
      </c>
      <c r="AL5" s="110" t="str">
        <f ca="1">RESULTADOS!P22</f>
        <v>N/A</v>
      </c>
      <c r="AM5" s="110" t="str">
        <f ca="1">RESULTADOS!Q22</f>
        <v>N/A</v>
      </c>
      <c r="AN5" s="110" t="str">
        <f ca="1">RESULTADOS!R22</f>
        <v>N/A</v>
      </c>
      <c r="AO5" s="110" t="str">
        <f ca="1">RESULTADOS!S22</f>
        <v>N/A</v>
      </c>
      <c r="AP5" s="110" t="str">
        <f ca="1">RESULTADOS!T22</f>
        <v>N/A</v>
      </c>
      <c r="AQ5" s="110" t="str">
        <f ca="1">RESULTADOS!U22</f>
        <v>N/A</v>
      </c>
      <c r="AR5" s="110" t="str">
        <f ca="1">RESULTADOS!V22</f>
        <v>N/A</v>
      </c>
      <c r="AS5" s="110" t="str">
        <f ca="1">RESULTADOS!W22</f>
        <v>N/A</v>
      </c>
      <c r="AT5" s="110" t="str">
        <f ca="1">RESULTADOS!X22</f>
        <v>N/A</v>
      </c>
      <c r="AU5" s="110" t="str">
        <f ca="1">RESULTADOS!Y22</f>
        <v>N/A</v>
      </c>
      <c r="AV5" s="110" t="str">
        <f ca="1">RESULTADOS!Z22</f>
        <v>N/A</v>
      </c>
      <c r="AW5" s="110" t="str">
        <f ca="1">RESULTADOS!AA22</f>
        <v>N/A</v>
      </c>
      <c r="AX5" s="110" t="str">
        <f ca="1">RESULTADOS!AB22</f>
        <v>N/A</v>
      </c>
      <c r="AY5" s="110" t="str">
        <f ca="1">RESULTADOS!AC22</f>
        <v>N/A</v>
      </c>
      <c r="AZ5" s="110" t="str">
        <f ca="1">RESULTADOS!AD22</f>
        <v>N/A</v>
      </c>
      <c r="BA5" s="110" t="str">
        <f ca="1">RESULTADOS!AE22</f>
        <v>N/A</v>
      </c>
      <c r="BB5" s="110" t="str">
        <f ca="1">RESULTADOS!AF22</f>
        <v>N/A</v>
      </c>
      <c r="BC5" s="110" t="str">
        <f ca="1">RESULTADOS!AG22</f>
        <v>N/A</v>
      </c>
      <c r="BD5" s="110" t="str">
        <f ca="1">RESULTADOS!AH22</f>
        <v>N/A</v>
      </c>
      <c r="BE5" s="110" t="str">
        <f ca="1">RESULTADOS!AI22</f>
        <v>N/A</v>
      </c>
      <c r="BF5" s="110" t="str">
        <f ca="1">RESULTADOS!AJ22</f>
        <v>Pasa</v>
      </c>
      <c r="BG5" s="110" t="str">
        <f ca="1">RESULTADOS!AK22</f>
        <v>N/A</v>
      </c>
      <c r="BH5" s="110" t="str">
        <f ca="1">RESULTADOS!AL22</f>
        <v>N/A</v>
      </c>
      <c r="BI5" s="110" t="str">
        <f ca="1">RESULTADOS!AM22</f>
        <v>N/A</v>
      </c>
      <c r="BJ5" s="110" t="str">
        <f ca="1">RESULTADOS!AN22</f>
        <v>N/A</v>
      </c>
      <c r="BK5" s="110" t="str">
        <f ca="1">RESULTADOS!AO22</f>
        <v>Falla</v>
      </c>
      <c r="BL5" s="110" t="str">
        <f ca="1">RESULTADOS!AP22</f>
        <v>Falla</v>
      </c>
      <c r="BM5" s="110" t="str">
        <f ca="1">RESULTADOS!AQ22</f>
        <v>Falla</v>
      </c>
      <c r="BN5" s="110" t="str">
        <f ca="1">RESULTADOS!AR22</f>
        <v>Pasa</v>
      </c>
      <c r="BO5" s="110" t="str">
        <f ca="1">RESULTADOS!AS22</f>
        <v>N/A</v>
      </c>
      <c r="BP5" s="110" t="str">
        <f ca="1">RESULTADOS!AT22</f>
        <v>N/A</v>
      </c>
      <c r="BQ5" s="110" t="str">
        <f ca="1">RESULTADOS!AU22</f>
        <v>N/A</v>
      </c>
      <c r="BR5" s="110" t="str">
        <f ca="1">RESULTADOS!AV22</f>
        <v>Pasa</v>
      </c>
      <c r="BS5" s="110" t="str">
        <f ca="1">RESULTADOS!AW22</f>
        <v>Falla</v>
      </c>
      <c r="BT5" s="110" t="str">
        <f ca="1">RESULTADOS!AX22</f>
        <v>N/A</v>
      </c>
      <c r="BU5" s="110" t="str">
        <f ca="1">RESULTADOS!AY22</f>
        <v>Falla</v>
      </c>
      <c r="BV5" s="110" t="str">
        <f ca="1">RESULTADOS!AZ22</f>
        <v>Falla</v>
      </c>
      <c r="BW5" s="110" t="str">
        <f ca="1">RESULTADOS!BA22</f>
        <v>Pasa</v>
      </c>
      <c r="BX5" s="110" t="str">
        <f ca="1">RESULTADOS!BB22</f>
        <v>Falla</v>
      </c>
      <c r="BY5" s="110" t="str">
        <f ca="1">RESULTADOS!BC22</f>
        <v>Pasa</v>
      </c>
      <c r="BZ5" s="110" t="str">
        <f ca="1">RESULTADOS!BD22</f>
        <v>Pasa</v>
      </c>
      <c r="CA5" s="110" t="str">
        <f ca="1">RESULTADOS!BE22</f>
        <v>N/A</v>
      </c>
      <c r="CB5" s="110" t="str">
        <f ca="1">RESULTADOS!BF22</f>
        <v>N/A</v>
      </c>
      <c r="CC5" s="110" t="str">
        <f ca="1">RESULTADOS!BG22</f>
        <v>N/A</v>
      </c>
      <c r="CD5" s="110" t="str">
        <f ca="1">RESULTADOS!BH22</f>
        <v>N/A</v>
      </c>
      <c r="CE5" s="110" t="str">
        <f ca="1">RESULTADOS!BI22</f>
        <v>N/A</v>
      </c>
      <c r="CF5" s="110" t="str">
        <f ca="1">RESULTADOS!BJ22</f>
        <v>Pasa</v>
      </c>
      <c r="CG5" s="110" t="str">
        <f ca="1">RESULTADOS!BK22</f>
        <v>Pasa</v>
      </c>
      <c r="CH5" s="110" t="str">
        <f ca="1">RESULTADOS!BL22</f>
        <v>Pasa</v>
      </c>
      <c r="CI5" s="110" t="str">
        <f ca="1">RESULTADOS!BM22</f>
        <v>Pasa</v>
      </c>
      <c r="CJ5" s="110" t="str">
        <f ca="1">RESULTADOS!BN22</f>
        <v>Pasa</v>
      </c>
      <c r="CK5" s="110" t="str">
        <f ca="1">RESULTADOS!BO22</f>
        <v>Pasa</v>
      </c>
      <c r="CL5" s="110" t="str">
        <f ca="1">RESULTADOS!BP22</f>
        <v>N/A</v>
      </c>
      <c r="CM5" s="110" t="str">
        <f ca="1">RESULTADOS!BQ22</f>
        <v>N/A</v>
      </c>
      <c r="CN5" s="110" t="str">
        <f ca="1">RESULTADOS!BR22</f>
        <v>Pasa</v>
      </c>
      <c r="CO5" s="110" t="str">
        <f ca="1">RESULTADOS!BS22</f>
        <v>N/A</v>
      </c>
      <c r="CP5" s="110" t="str">
        <f ca="1">RESULTADOS!BT22</f>
        <v>Pasa</v>
      </c>
      <c r="CQ5" s="110" t="str">
        <f ca="1">RESULTADOS!BU22</f>
        <v>N/A</v>
      </c>
      <c r="CR5" s="110" t="str">
        <f ca="1">RESULTADOS!BV22</f>
        <v>Pasa</v>
      </c>
      <c r="CS5" s="110" t="str">
        <f ca="1">RESULTADOS!BW22</f>
        <v>Pasa</v>
      </c>
      <c r="CT5" s="110" t="str">
        <f ca="1">RESULTADOS!BX22</f>
        <v>Pasa</v>
      </c>
      <c r="CU5" s="110" t="str">
        <f ca="1">RESULTADOS!BY22</f>
        <v>Pasa</v>
      </c>
      <c r="CV5" s="110" t="str">
        <f ca="1">RESULTADOS!BZ22</f>
        <v>N/A</v>
      </c>
      <c r="CW5" s="110" t="str">
        <f ca="1">RESULTADOS!CA22</f>
        <v>Falla</v>
      </c>
      <c r="CX5" s="110" t="str">
        <f ca="1">RESULTADOS!CB22</f>
        <v>N/A</v>
      </c>
      <c r="CY5" s="110" t="str">
        <f ca="1">RESULTADOS!CC22</f>
        <v>N/A</v>
      </c>
      <c r="CZ5" s="110" t="str">
        <f ca="1">RESULTADOS!CD22</f>
        <v>Pasa</v>
      </c>
      <c r="DA5" s="110" t="str">
        <f ca="1">RESULTADOS!CE22</f>
        <v>Pasa</v>
      </c>
      <c r="DB5" s="110" t="str">
        <f ca="1">RESULTADOS!CF22</f>
        <v>N/A</v>
      </c>
      <c r="DC5" s="110" t="str">
        <f ca="1">RESULTADOS!CG22</f>
        <v>Falla</v>
      </c>
      <c r="DD5" s="110" t="str">
        <f ca="1">RESULTADOS!CH22</f>
        <v>N/A</v>
      </c>
      <c r="DE5" s="110" t="str">
        <f ca="1">RESULTADOS!CI22</f>
        <v>N/A</v>
      </c>
      <c r="DF5" s="110" t="str">
        <f ca="1">RESULTADOS!CJ22</f>
        <v>N/A</v>
      </c>
      <c r="DG5" s="110" t="str">
        <f ca="1">RESULTADOS!CK22</f>
        <v>N/A</v>
      </c>
      <c r="DH5" s="110" t="str">
        <f ca="1">RESULTADOS!CL22</f>
        <v>N/A</v>
      </c>
      <c r="DI5" s="110" t="str">
        <f ca="1">RESULTADOS!CM22</f>
        <v>N/A</v>
      </c>
      <c r="DJ5" s="110" t="str">
        <f ca="1">RESULTADOS!CN22</f>
        <v>Pasa</v>
      </c>
      <c r="DK5" s="110" t="str">
        <f ca="1">RESULTADOS!CO22</f>
        <v>Falla</v>
      </c>
      <c r="DL5" s="110" t="str">
        <f ca="1">RESULTADOS!CP22</f>
        <v>Falla</v>
      </c>
      <c r="DM5" s="110" t="str">
        <f ca="1">RESULTADOS!CQ22</f>
        <v>Pasa</v>
      </c>
      <c r="DN5" s="110" t="str">
        <f ca="1">RESULTADOS!CR22</f>
        <v>Falla</v>
      </c>
      <c r="DO5" s="112" t="str">
        <f>RESULTADOS!B63</f>
        <v/>
      </c>
      <c r="DP5" s="112" t="str">
        <f>RESULTADOS!C63</f>
        <v/>
      </c>
      <c r="DQ5" s="112" t="str">
        <f t="shared" si="1"/>
        <v/>
      </c>
      <c r="DR5" s="112" t="str" cm="1">
        <f t="array" ref="DR5">IFERROR(INDEX('03.Muestra'!$E$8:$E$42,SMALL(IF("Documento no web"='03.Muestra'!$D$8:$D$42,ROW('03.Muestra'!$E$8:$E$42)-MIN(ROW('03.Muestra'!$D$8:$D$42))+1,""),ROW()-2)),"")</f>
        <v/>
      </c>
      <c r="DS5" s="112" t="str">
        <f>RESULTADOS!D63</f>
        <v/>
      </c>
      <c r="DT5" s="112" t="str" cm="1">
        <f t="array" ref="DT5">IFERROR(INDEX('03.Muestra'!$G$8:$G$42,SMALL(IF("Documento no web"='03.Muestra'!$D$8:$D$42,ROW('03.Muestra'!$G$8:$G$42)-MIN(ROW('03.Muestra'!$D$8:$D$42))+1,""),ROW()-2)),"")</f>
        <v/>
      </c>
      <c r="DU5" s="187" t="str" cm="1">
        <f t="array" ref="DU5">IFERROR(INDEX('03.Muestra'!$H$8:$H$42,SMALL(IF("Documento no web"='03.Muestra'!$D$8:$D$42,ROW('03.Muestra'!$H$8:$H$42)-MIN(ROW('03.Muestra'!$D$8:$D$42))+1,""),ROW()-2)),"")</f>
        <v/>
      </c>
      <c r="DV5" s="110" t="str">
        <f ca="1">RESULTADOS!E63</f>
        <v/>
      </c>
      <c r="DW5" s="110" t="str">
        <f ca="1">RESULTADOS!F63</f>
        <v/>
      </c>
      <c r="DX5" s="110" t="str">
        <f ca="1">RESULTADOS!G63</f>
        <v/>
      </c>
      <c r="DY5" s="110" t="str">
        <f ca="1">RESULTADOS!H63</f>
        <v/>
      </c>
      <c r="DZ5" s="110" t="str">
        <f ca="1">RESULTADOS!I63</f>
        <v/>
      </c>
      <c r="EA5" s="110" t="str">
        <f ca="1">RESULTADOS!J63</f>
        <v/>
      </c>
      <c r="EB5" s="110" t="str">
        <f ca="1">RESULTADOS!K63</f>
        <v/>
      </c>
      <c r="EC5" s="110" t="str">
        <f ca="1">RESULTADOS!L63</f>
        <v/>
      </c>
      <c r="ED5" s="110" t="str">
        <f ca="1">RESULTADOS!M63</f>
        <v/>
      </c>
      <c r="EE5" s="110" t="str">
        <f ca="1">RESULTADOS!N63</f>
        <v/>
      </c>
      <c r="EF5" s="110" t="str">
        <f ca="1">RESULTADOS!O63</f>
        <v/>
      </c>
      <c r="EG5" s="110" t="str">
        <f ca="1">RESULTADOS!P63</f>
        <v/>
      </c>
      <c r="EH5" s="110" t="str">
        <f ca="1">RESULTADOS!Q63</f>
        <v/>
      </c>
      <c r="EI5" s="110" t="str">
        <f ca="1">RESULTADOS!R63</f>
        <v/>
      </c>
      <c r="EJ5" s="110" t="str">
        <f ca="1">RESULTADOS!S63</f>
        <v/>
      </c>
      <c r="EK5" s="110" t="str">
        <f ca="1">RESULTADOS!T63</f>
        <v/>
      </c>
      <c r="EL5" s="110" t="str">
        <f ca="1">RESULTADOS!U63</f>
        <v/>
      </c>
      <c r="EM5" s="110" t="str">
        <f ca="1">RESULTADOS!V63</f>
        <v/>
      </c>
      <c r="EN5" s="110" t="str">
        <f ca="1">RESULTADOS!W63</f>
        <v/>
      </c>
      <c r="EO5" s="110" t="str">
        <f ca="1">RESULTADOS!X63</f>
        <v/>
      </c>
      <c r="EP5" s="110" t="str">
        <f ca="1">RESULTADOS!Y63</f>
        <v/>
      </c>
      <c r="EQ5" s="110" t="str">
        <f ca="1">RESULTADOS!Z63</f>
        <v/>
      </c>
      <c r="ER5" s="110" t="str">
        <f ca="1">RESULTADOS!AA63</f>
        <v/>
      </c>
      <c r="ES5" s="110" t="str">
        <f ca="1">RESULTADOS!AB63</f>
        <v/>
      </c>
      <c r="ET5" s="110" t="str">
        <f ca="1">RESULTADOS!AC63</f>
        <v/>
      </c>
      <c r="EU5" s="110" t="str">
        <f ca="1">RESULTADOS!AD63</f>
        <v/>
      </c>
      <c r="EV5" s="110" t="str">
        <f ca="1">RESULTADOS!AE63</f>
        <v/>
      </c>
      <c r="EW5" s="110" t="str">
        <f ca="1">RESULTADOS!AF63</f>
        <v/>
      </c>
      <c r="EX5" s="110" t="str">
        <f ca="1">RESULTADOS!AG63</f>
        <v/>
      </c>
      <c r="EY5" s="110" t="str">
        <f ca="1">RESULTADOS!AH63</f>
        <v/>
      </c>
      <c r="EZ5" s="110" t="str">
        <f ca="1">RESULTADOS!AI63</f>
        <v/>
      </c>
      <c r="FA5" s="110" t="str">
        <f ca="1">RESULTADOS!AJ63</f>
        <v/>
      </c>
      <c r="FB5" s="110" t="str">
        <f ca="1">RESULTADOS!AK63</f>
        <v/>
      </c>
      <c r="FC5" s="110" t="str">
        <f ca="1">RESULTADOS!AL63</f>
        <v/>
      </c>
      <c r="FD5" s="110" t="str">
        <f ca="1">RESULTADOS!AM63</f>
        <v/>
      </c>
      <c r="FE5" s="110" t="str">
        <f ca="1">RESULTADOS!AN63</f>
        <v/>
      </c>
      <c r="FF5" s="110" t="str">
        <f ca="1">RESULTADOS!AO63</f>
        <v/>
      </c>
      <c r="FG5" s="110" t="str">
        <f ca="1">RESULTADOS!AP63</f>
        <v/>
      </c>
      <c r="FH5" s="110" t="str">
        <f ca="1">RESULTADOS!AQ63</f>
        <v/>
      </c>
      <c r="FI5" s="110" t="str">
        <f ca="1">RESULTADOS!AR63</f>
        <v/>
      </c>
      <c r="FJ5" s="110" t="str">
        <f ca="1">RESULTADOS!AS63</f>
        <v/>
      </c>
      <c r="FK5" s="110" t="str">
        <f ca="1">RESULTADOS!AT63</f>
        <v/>
      </c>
      <c r="FL5" s="110" t="str">
        <f ca="1">RESULTADOS!AU63</f>
        <v/>
      </c>
      <c r="FM5" s="110" t="str">
        <f ca="1">RESULTADOS!AV63</f>
        <v/>
      </c>
      <c r="FN5" s="110" t="str">
        <f ca="1">RESULTADOS!AW63</f>
        <v/>
      </c>
    </row>
    <row r="6" spans="1:170" ht="13">
      <c r="C6" s="108" t="s">
        <v>18</v>
      </c>
      <c r="D6" s="111">
        <f>'01.Definición de ámbito'!C17</f>
        <v>0</v>
      </c>
      <c r="E6" s="108" t="s">
        <v>67</v>
      </c>
      <c r="F6" s="111" t="str">
        <f>'02.Tecnologías'!C13</f>
        <v>Sí</v>
      </c>
      <c r="G6" s="111">
        <f>'02.Tecnologías'!K16</f>
        <v>0</v>
      </c>
      <c r="H6" s="111">
        <f>'02.Tecnologías'!L16</f>
        <v>0</v>
      </c>
      <c r="I6" s="161"/>
      <c r="J6" s="161"/>
      <c r="K6" s="108"/>
      <c r="L6" s="108"/>
      <c r="M6" s="108"/>
      <c r="T6" s="112">
        <f>RESULTADOS!B23</f>
        <v>4</v>
      </c>
      <c r="U6" s="112" t="str">
        <f>RESULTADOS!C23</f>
        <v>Tranparencia</v>
      </c>
      <c r="V6" s="112" t="str">
        <f t="shared" si="0"/>
        <v>Página web</v>
      </c>
      <c r="W6" s="112" t="str">
        <v>Pagina tipo</v>
      </c>
      <c r="X6" s="112" t="str">
        <f>RESULTADOS!D23</f>
        <v>https://www.comunidad.madrid/transparencia/que-es-transparencia</v>
      </c>
      <c r="Y6" s="112" t="str">
        <v>Inicio - Transparencia - que es la tranparencia</v>
      </c>
      <c r="Z6" s="187" t="str">
        <v xml:space="preserve"> </v>
      </c>
      <c r="AA6" s="110" t="str">
        <f ca="1">RESULTADOS!E23</f>
        <v>N/A</v>
      </c>
      <c r="AB6" s="110" t="str">
        <f ca="1">RESULTADOS!F23</f>
        <v>N/A</v>
      </c>
      <c r="AC6" s="110" t="str">
        <f ca="1">RESULTADOS!G23</f>
        <v>N/A</v>
      </c>
      <c r="AD6" s="110" t="str">
        <f ca="1">RESULTADOS!H23</f>
        <v>N/A</v>
      </c>
      <c r="AE6" s="110" t="str">
        <f ca="1">RESULTADOS!I23</f>
        <v>N/A</v>
      </c>
      <c r="AF6" s="110" t="str">
        <f ca="1">RESULTADOS!J23</f>
        <v>N/A</v>
      </c>
      <c r="AG6" s="110" t="str">
        <f ca="1">RESULTADOS!K23</f>
        <v>N/A</v>
      </c>
      <c r="AH6" s="110" t="str">
        <f ca="1">RESULTADOS!L23</f>
        <v>N/A</v>
      </c>
      <c r="AI6" s="110" t="str">
        <f ca="1">RESULTADOS!M23</f>
        <v>N/A</v>
      </c>
      <c r="AJ6" s="110" t="str">
        <f ca="1">RESULTADOS!N23</f>
        <v>N/A</v>
      </c>
      <c r="AK6" s="110" t="str">
        <f ca="1">RESULTADOS!O23</f>
        <v>N/A</v>
      </c>
      <c r="AL6" s="110" t="str">
        <f ca="1">RESULTADOS!P23</f>
        <v>N/A</v>
      </c>
      <c r="AM6" s="110" t="str">
        <f ca="1">RESULTADOS!Q23</f>
        <v>N/A</v>
      </c>
      <c r="AN6" s="110" t="str">
        <f ca="1">RESULTADOS!R23</f>
        <v>N/A</v>
      </c>
      <c r="AO6" s="110" t="str">
        <f ca="1">RESULTADOS!S23</f>
        <v>N/A</v>
      </c>
      <c r="AP6" s="110" t="str">
        <f ca="1">RESULTADOS!T23</f>
        <v>N/A</v>
      </c>
      <c r="AQ6" s="110" t="str">
        <f ca="1">RESULTADOS!U23</f>
        <v>N/A</v>
      </c>
      <c r="AR6" s="110" t="str">
        <f ca="1">RESULTADOS!V23</f>
        <v>N/A</v>
      </c>
      <c r="AS6" s="110" t="str">
        <f ca="1">RESULTADOS!W23</f>
        <v>N/A</v>
      </c>
      <c r="AT6" s="110" t="str">
        <f ca="1">RESULTADOS!X23</f>
        <v>N/A</v>
      </c>
      <c r="AU6" s="110" t="str">
        <f ca="1">RESULTADOS!Y23</f>
        <v>N/A</v>
      </c>
      <c r="AV6" s="110" t="str">
        <f ca="1">RESULTADOS!Z23</f>
        <v>N/A</v>
      </c>
      <c r="AW6" s="110" t="str">
        <f ca="1">RESULTADOS!AA23</f>
        <v>N/A</v>
      </c>
      <c r="AX6" s="110" t="str">
        <f ca="1">RESULTADOS!AB23</f>
        <v>N/A</v>
      </c>
      <c r="AY6" s="110" t="str">
        <f ca="1">RESULTADOS!AC23</f>
        <v>N/A</v>
      </c>
      <c r="AZ6" s="110" t="str">
        <f ca="1">RESULTADOS!AD23</f>
        <v>N/A</v>
      </c>
      <c r="BA6" s="110" t="str">
        <f ca="1">RESULTADOS!AE23</f>
        <v>N/A</v>
      </c>
      <c r="BB6" s="110" t="str">
        <f ca="1">RESULTADOS!AF23</f>
        <v>N/A</v>
      </c>
      <c r="BC6" s="110" t="str">
        <f ca="1">RESULTADOS!AG23</f>
        <v>N/A</v>
      </c>
      <c r="BD6" s="110" t="str">
        <f ca="1">RESULTADOS!AH23</f>
        <v>N/A</v>
      </c>
      <c r="BE6" s="110" t="str">
        <f ca="1">RESULTADOS!AI23</f>
        <v>N/A</v>
      </c>
      <c r="BF6" s="110" t="str">
        <f ca="1">RESULTADOS!AJ23</f>
        <v>Pasa</v>
      </c>
      <c r="BG6" s="110" t="str">
        <f ca="1">RESULTADOS!AK23</f>
        <v>N/A</v>
      </c>
      <c r="BH6" s="110" t="str">
        <f ca="1">RESULTADOS!AL23</f>
        <v>N/A</v>
      </c>
      <c r="BI6" s="110" t="str">
        <f ca="1">RESULTADOS!AM23</f>
        <v>N/A</v>
      </c>
      <c r="BJ6" s="110" t="str">
        <f ca="1">RESULTADOS!AN23</f>
        <v>N/A</v>
      </c>
      <c r="BK6" s="110" t="str">
        <f ca="1">RESULTADOS!AO23</f>
        <v>Pasa</v>
      </c>
      <c r="BL6" s="110" t="str">
        <f ca="1">RESULTADOS!AP23</f>
        <v>Falla</v>
      </c>
      <c r="BM6" s="110" t="str">
        <f ca="1">RESULTADOS!AQ23</f>
        <v>Falla</v>
      </c>
      <c r="BN6" s="110" t="str">
        <f ca="1">RESULTADOS!AR23</f>
        <v>Pasa</v>
      </c>
      <c r="BO6" s="110" t="str">
        <f ca="1">RESULTADOS!AS23</f>
        <v>N/A</v>
      </c>
      <c r="BP6" s="110" t="str">
        <f ca="1">RESULTADOS!AT23</f>
        <v>N/A</v>
      </c>
      <c r="BQ6" s="110" t="str">
        <f ca="1">RESULTADOS!AU23</f>
        <v>N/A</v>
      </c>
      <c r="BR6" s="110" t="str">
        <f ca="1">RESULTADOS!AV23</f>
        <v>Pasa</v>
      </c>
      <c r="BS6" s="110" t="str">
        <f ca="1">RESULTADOS!AW23</f>
        <v>Falla</v>
      </c>
      <c r="BT6" s="110" t="str">
        <f ca="1">RESULTADOS!AX23</f>
        <v>N/A</v>
      </c>
      <c r="BU6" s="110" t="str">
        <f ca="1">RESULTADOS!AY23</f>
        <v>Falla</v>
      </c>
      <c r="BV6" s="110" t="str">
        <f ca="1">RESULTADOS!AZ23</f>
        <v>Falla</v>
      </c>
      <c r="BW6" s="110" t="str">
        <f ca="1">RESULTADOS!BA23</f>
        <v>Pasa</v>
      </c>
      <c r="BX6" s="110" t="str">
        <f ca="1">RESULTADOS!BB23</f>
        <v>Falla</v>
      </c>
      <c r="BY6" s="110" t="str">
        <f ca="1">RESULTADOS!BC23</f>
        <v>Pasa</v>
      </c>
      <c r="BZ6" s="110" t="str">
        <f ca="1">RESULTADOS!BD23</f>
        <v>Pasa</v>
      </c>
      <c r="CA6" s="110" t="str">
        <f ca="1">RESULTADOS!BE23</f>
        <v>N/A</v>
      </c>
      <c r="CB6" s="110" t="str">
        <f ca="1">RESULTADOS!BF23</f>
        <v>N/A</v>
      </c>
      <c r="CC6" s="110" t="str">
        <f ca="1">RESULTADOS!BG23</f>
        <v>N/A</v>
      </c>
      <c r="CD6" s="110" t="str">
        <f ca="1">RESULTADOS!BH23</f>
        <v>N/A</v>
      </c>
      <c r="CE6" s="110" t="str">
        <f ca="1">RESULTADOS!BI23</f>
        <v>N/A</v>
      </c>
      <c r="CF6" s="110" t="str">
        <f ca="1">RESULTADOS!BJ23</f>
        <v>Pasa</v>
      </c>
      <c r="CG6" s="110" t="str">
        <f ca="1">RESULTADOS!BK23</f>
        <v>Pasa</v>
      </c>
      <c r="CH6" s="110" t="str">
        <f ca="1">RESULTADOS!BL23</f>
        <v>Pasa</v>
      </c>
      <c r="CI6" s="110" t="str">
        <f ca="1">RESULTADOS!BM23</f>
        <v>Pasa</v>
      </c>
      <c r="CJ6" s="110" t="str">
        <f ca="1">RESULTADOS!BN23</f>
        <v>Pasa</v>
      </c>
      <c r="CK6" s="110" t="str">
        <f ca="1">RESULTADOS!BO23</f>
        <v>Pasa</v>
      </c>
      <c r="CL6" s="110" t="str">
        <f ca="1">RESULTADOS!BP23</f>
        <v>N/A</v>
      </c>
      <c r="CM6" s="110" t="str">
        <f ca="1">RESULTADOS!BQ23</f>
        <v>N/A</v>
      </c>
      <c r="CN6" s="110" t="str">
        <f ca="1">RESULTADOS!BR23</f>
        <v>Pasa</v>
      </c>
      <c r="CO6" s="110" t="str">
        <f ca="1">RESULTADOS!BS23</f>
        <v>N/A</v>
      </c>
      <c r="CP6" s="110" t="str">
        <f ca="1">RESULTADOS!BT23</f>
        <v>Pasa</v>
      </c>
      <c r="CQ6" s="110" t="str">
        <f ca="1">RESULTADOS!BU23</f>
        <v>N/A</v>
      </c>
      <c r="CR6" s="110" t="str">
        <f ca="1">RESULTADOS!BV23</f>
        <v>Pasa</v>
      </c>
      <c r="CS6" s="110" t="str">
        <f ca="1">RESULTADOS!BW23</f>
        <v>Pasa</v>
      </c>
      <c r="CT6" s="110" t="str">
        <f ca="1">RESULTADOS!BX23</f>
        <v>Pasa</v>
      </c>
      <c r="CU6" s="110" t="str">
        <f ca="1">RESULTADOS!BY23</f>
        <v>Pasa</v>
      </c>
      <c r="CV6" s="110" t="str">
        <f ca="1">RESULTADOS!BZ23</f>
        <v>N/A</v>
      </c>
      <c r="CW6" s="110" t="str">
        <f ca="1">RESULTADOS!CA23</f>
        <v>Falla</v>
      </c>
      <c r="CX6" s="110" t="str">
        <f ca="1">RESULTADOS!CB23</f>
        <v>N/A</v>
      </c>
      <c r="CY6" s="110" t="str">
        <f ca="1">RESULTADOS!CC23</f>
        <v>N/A</v>
      </c>
      <c r="CZ6" s="110" t="str">
        <f ca="1">RESULTADOS!CD23</f>
        <v>Pasa</v>
      </c>
      <c r="DA6" s="110" t="str">
        <f ca="1">RESULTADOS!CE23</f>
        <v>Pasa</v>
      </c>
      <c r="DB6" s="110" t="str">
        <f ca="1">RESULTADOS!CF23</f>
        <v>N/A</v>
      </c>
      <c r="DC6" s="110" t="str">
        <f ca="1">RESULTADOS!CG23</f>
        <v>Falla</v>
      </c>
      <c r="DD6" s="110" t="str">
        <f ca="1">RESULTADOS!CH23</f>
        <v>N/A</v>
      </c>
      <c r="DE6" s="110" t="str">
        <f ca="1">RESULTADOS!CI23</f>
        <v>N/A</v>
      </c>
      <c r="DF6" s="110" t="str">
        <f ca="1">RESULTADOS!CJ23</f>
        <v>N/A</v>
      </c>
      <c r="DG6" s="110" t="str">
        <f ca="1">RESULTADOS!CK23</f>
        <v>N/A</v>
      </c>
      <c r="DH6" s="110" t="str">
        <f ca="1">RESULTADOS!CL23</f>
        <v>N/A</v>
      </c>
      <c r="DI6" s="110" t="str">
        <f ca="1">RESULTADOS!CM23</f>
        <v>N/A</v>
      </c>
      <c r="DJ6" s="110" t="str">
        <f ca="1">RESULTADOS!CN23</f>
        <v>Pasa</v>
      </c>
      <c r="DK6" s="110" t="str">
        <f ca="1">RESULTADOS!CO23</f>
        <v>Falla</v>
      </c>
      <c r="DL6" s="110" t="str">
        <f ca="1">RESULTADOS!CP23</f>
        <v>Falla</v>
      </c>
      <c r="DM6" s="110" t="str">
        <f ca="1">RESULTADOS!CQ23</f>
        <v>Pasa</v>
      </c>
      <c r="DN6" s="110" t="str">
        <f ca="1">RESULTADOS!CR23</f>
        <v>Falla</v>
      </c>
      <c r="DO6" s="112" t="str">
        <f>RESULTADOS!B64</f>
        <v/>
      </c>
      <c r="DP6" s="112" t="str">
        <f>RESULTADOS!C64</f>
        <v/>
      </c>
      <c r="DQ6" s="112" t="str">
        <f t="shared" si="1"/>
        <v/>
      </c>
      <c r="DR6" s="112" t="str" cm="1">
        <f t="array" ref="DR6">IFERROR(INDEX('03.Muestra'!$E$8:$E$42,SMALL(IF("Documento no web"='03.Muestra'!$D$8:$D$42,ROW('03.Muestra'!$E$8:$E$42)-MIN(ROW('03.Muestra'!$D$8:$D$42))+1,""),ROW()-2)),"")</f>
        <v/>
      </c>
      <c r="DS6" s="112" t="str">
        <f>RESULTADOS!D64</f>
        <v/>
      </c>
      <c r="DT6" s="112" t="str" cm="1">
        <f t="array" ref="DT6">IFERROR(INDEX('03.Muestra'!$G$8:$G$42,SMALL(IF("Documento no web"='03.Muestra'!$D$8:$D$42,ROW('03.Muestra'!$G$8:$G$42)-MIN(ROW('03.Muestra'!$D$8:$D$42))+1,""),ROW()-2)),"")</f>
        <v/>
      </c>
      <c r="DU6" s="187" t="str" cm="1">
        <f t="array" ref="DU6">IFERROR(INDEX('03.Muestra'!$H$8:$H$42,SMALL(IF("Documento no web"='03.Muestra'!$D$8:$D$42,ROW('03.Muestra'!$H$8:$H$42)-MIN(ROW('03.Muestra'!$D$8:$D$42))+1,""),ROW()-2)),"")</f>
        <v/>
      </c>
      <c r="DV6" s="110" t="str">
        <f ca="1">RESULTADOS!E64</f>
        <v/>
      </c>
      <c r="DW6" s="110" t="str">
        <f ca="1">RESULTADOS!F64</f>
        <v/>
      </c>
      <c r="DX6" s="110" t="str">
        <f ca="1">RESULTADOS!G64</f>
        <v/>
      </c>
      <c r="DY6" s="110" t="str">
        <f ca="1">RESULTADOS!H64</f>
        <v/>
      </c>
      <c r="DZ6" s="110" t="str">
        <f ca="1">RESULTADOS!I64</f>
        <v/>
      </c>
      <c r="EA6" s="110" t="str">
        <f ca="1">RESULTADOS!J64</f>
        <v/>
      </c>
      <c r="EB6" s="110" t="str">
        <f ca="1">RESULTADOS!K64</f>
        <v/>
      </c>
      <c r="EC6" s="110" t="str">
        <f ca="1">RESULTADOS!L64</f>
        <v/>
      </c>
      <c r="ED6" s="110" t="str">
        <f ca="1">RESULTADOS!M64</f>
        <v/>
      </c>
      <c r="EE6" s="110" t="str">
        <f ca="1">RESULTADOS!N64</f>
        <v/>
      </c>
      <c r="EF6" s="110" t="str">
        <f ca="1">RESULTADOS!O64</f>
        <v/>
      </c>
      <c r="EG6" s="110" t="str">
        <f ca="1">RESULTADOS!P64</f>
        <v/>
      </c>
      <c r="EH6" s="110" t="str">
        <f ca="1">RESULTADOS!Q64</f>
        <v/>
      </c>
      <c r="EI6" s="110" t="str">
        <f ca="1">RESULTADOS!R64</f>
        <v/>
      </c>
      <c r="EJ6" s="110" t="str">
        <f ca="1">RESULTADOS!S64</f>
        <v/>
      </c>
      <c r="EK6" s="110" t="str">
        <f ca="1">RESULTADOS!T64</f>
        <v/>
      </c>
      <c r="EL6" s="110" t="str">
        <f ca="1">RESULTADOS!U64</f>
        <v/>
      </c>
      <c r="EM6" s="110" t="str">
        <f ca="1">RESULTADOS!V64</f>
        <v/>
      </c>
      <c r="EN6" s="110" t="str">
        <f ca="1">RESULTADOS!W64</f>
        <v/>
      </c>
      <c r="EO6" s="110" t="str">
        <f ca="1">RESULTADOS!X64</f>
        <v/>
      </c>
      <c r="EP6" s="110" t="str">
        <f ca="1">RESULTADOS!Y64</f>
        <v/>
      </c>
      <c r="EQ6" s="110" t="str">
        <f ca="1">RESULTADOS!Z64</f>
        <v/>
      </c>
      <c r="ER6" s="110" t="str">
        <f ca="1">RESULTADOS!AA64</f>
        <v/>
      </c>
      <c r="ES6" s="110" t="str">
        <f ca="1">RESULTADOS!AB64</f>
        <v/>
      </c>
      <c r="ET6" s="110" t="str">
        <f ca="1">RESULTADOS!AC64</f>
        <v/>
      </c>
      <c r="EU6" s="110" t="str">
        <f ca="1">RESULTADOS!AD64</f>
        <v/>
      </c>
      <c r="EV6" s="110" t="str">
        <f ca="1">RESULTADOS!AE64</f>
        <v/>
      </c>
      <c r="EW6" s="110" t="str">
        <f ca="1">RESULTADOS!AF64</f>
        <v/>
      </c>
      <c r="EX6" s="110" t="str">
        <f ca="1">RESULTADOS!AG64</f>
        <v/>
      </c>
      <c r="EY6" s="110" t="str">
        <f ca="1">RESULTADOS!AH64</f>
        <v/>
      </c>
      <c r="EZ6" s="110" t="str">
        <f ca="1">RESULTADOS!AI64</f>
        <v/>
      </c>
      <c r="FA6" s="110" t="str">
        <f ca="1">RESULTADOS!AJ64</f>
        <v/>
      </c>
      <c r="FB6" s="110" t="str">
        <f ca="1">RESULTADOS!AK64</f>
        <v/>
      </c>
      <c r="FC6" s="110" t="str">
        <f ca="1">RESULTADOS!AL64</f>
        <v/>
      </c>
      <c r="FD6" s="110" t="str">
        <f ca="1">RESULTADOS!AM64</f>
        <v/>
      </c>
      <c r="FE6" s="110" t="str">
        <f ca="1">RESULTADOS!AN64</f>
        <v/>
      </c>
      <c r="FF6" s="110" t="str">
        <f ca="1">RESULTADOS!AO64</f>
        <v/>
      </c>
      <c r="FG6" s="110" t="str">
        <f ca="1">RESULTADOS!AP64</f>
        <v/>
      </c>
      <c r="FH6" s="110" t="str">
        <f ca="1">RESULTADOS!AQ64</f>
        <v/>
      </c>
      <c r="FI6" s="110" t="str">
        <f ca="1">RESULTADOS!AR64</f>
        <v/>
      </c>
      <c r="FJ6" s="110" t="str">
        <f ca="1">RESULTADOS!AS64</f>
        <v/>
      </c>
      <c r="FK6" s="110" t="str">
        <f ca="1">RESULTADOS!AT64</f>
        <v/>
      </c>
      <c r="FL6" s="110" t="str">
        <f ca="1">RESULTADOS!AU64</f>
        <v/>
      </c>
      <c r="FM6" s="110" t="str">
        <f ca="1">RESULTADOS!AV64</f>
        <v/>
      </c>
      <c r="FN6" s="110" t="str">
        <f ca="1">RESULTADOS!AW64</f>
        <v/>
      </c>
    </row>
    <row r="7" spans="1:170" ht="13">
      <c r="C7" s="108" t="s">
        <v>19</v>
      </c>
      <c r="D7" s="111">
        <f>'01.Definición de ámbito'!C19</f>
        <v>0</v>
      </c>
      <c r="E7" s="108" t="s">
        <v>54</v>
      </c>
      <c r="F7" s="111" t="str">
        <f>'02.Tecnologías'!F9</f>
        <v>No</v>
      </c>
      <c r="G7" s="111">
        <f>'02.Tecnologías'!K17</f>
        <v>0</v>
      </c>
      <c r="H7" s="111">
        <f>'02.Tecnologías'!L17</f>
        <v>0</v>
      </c>
      <c r="I7" s="161"/>
      <c r="J7" s="161"/>
      <c r="K7" s="108"/>
      <c r="L7" s="108"/>
      <c r="M7" s="108"/>
      <c r="T7" s="112">
        <f>RESULTADOS!B24</f>
        <v>5</v>
      </c>
      <c r="U7" s="112" t="str">
        <f>RESULTADOS!C24</f>
        <v>Organización</v>
      </c>
      <c r="V7" s="112" t="str">
        <f t="shared" si="0"/>
        <v>Página web</v>
      </c>
      <c r="W7" s="112" t="str">
        <v>Pagina tipo</v>
      </c>
      <c r="X7" s="112" t="str">
        <f>RESULTADOS!D24</f>
        <v>https://www.comunidad.madrid/transparencia/organizacion-recursos/organizacion</v>
      </c>
      <c r="Y7" s="112" t="str">
        <v>Inicio - Organización y recursos - Organización</v>
      </c>
      <c r="Z7" s="187">
        <v>0</v>
      </c>
      <c r="AA7" s="110" t="str">
        <f ca="1">RESULTADOS!E24</f>
        <v>N/A</v>
      </c>
      <c r="AB7" s="110" t="str">
        <f ca="1">RESULTADOS!F24</f>
        <v>N/A</v>
      </c>
      <c r="AC7" s="110" t="str">
        <f ca="1">RESULTADOS!G24</f>
        <v>N/A</v>
      </c>
      <c r="AD7" s="110" t="str">
        <f ca="1">RESULTADOS!H24</f>
        <v>N/A</v>
      </c>
      <c r="AE7" s="110" t="str">
        <f ca="1">RESULTADOS!I24</f>
        <v>N/A</v>
      </c>
      <c r="AF7" s="110" t="str">
        <f ca="1">RESULTADOS!J24</f>
        <v>N/A</v>
      </c>
      <c r="AG7" s="110" t="str">
        <f ca="1">RESULTADOS!K24</f>
        <v>N/A</v>
      </c>
      <c r="AH7" s="110" t="str">
        <f ca="1">RESULTADOS!L24</f>
        <v>N/A</v>
      </c>
      <c r="AI7" s="110" t="str">
        <f ca="1">RESULTADOS!M24</f>
        <v>N/A</v>
      </c>
      <c r="AJ7" s="110" t="str">
        <f ca="1">RESULTADOS!N24</f>
        <v>N/A</v>
      </c>
      <c r="AK7" s="110" t="str">
        <f ca="1">RESULTADOS!O24</f>
        <v>N/A</v>
      </c>
      <c r="AL7" s="110" t="str">
        <f ca="1">RESULTADOS!P24</f>
        <v>N/A</v>
      </c>
      <c r="AM7" s="110" t="str">
        <f ca="1">RESULTADOS!Q24</f>
        <v>N/A</v>
      </c>
      <c r="AN7" s="110" t="str">
        <f ca="1">RESULTADOS!R24</f>
        <v>N/A</v>
      </c>
      <c r="AO7" s="110" t="str">
        <f ca="1">RESULTADOS!S24</f>
        <v>N/A</v>
      </c>
      <c r="AP7" s="110" t="str">
        <f ca="1">RESULTADOS!T24</f>
        <v>N/A</v>
      </c>
      <c r="AQ7" s="110" t="str">
        <f ca="1">RESULTADOS!U24</f>
        <v>N/A</v>
      </c>
      <c r="AR7" s="110" t="str">
        <f ca="1">RESULTADOS!V24</f>
        <v>N/A</v>
      </c>
      <c r="AS7" s="110" t="str">
        <f ca="1">RESULTADOS!W24</f>
        <v>N/A</v>
      </c>
      <c r="AT7" s="110" t="str">
        <f ca="1">RESULTADOS!X24</f>
        <v>N/A</v>
      </c>
      <c r="AU7" s="110" t="str">
        <f ca="1">RESULTADOS!Y24</f>
        <v>N/A</v>
      </c>
      <c r="AV7" s="110" t="str">
        <f ca="1">RESULTADOS!Z24</f>
        <v>N/A</v>
      </c>
      <c r="AW7" s="110" t="str">
        <f ca="1">RESULTADOS!AA24</f>
        <v>N/A</v>
      </c>
      <c r="AX7" s="110" t="str">
        <f ca="1">RESULTADOS!AB24</f>
        <v>N/A</v>
      </c>
      <c r="AY7" s="110" t="str">
        <f ca="1">RESULTADOS!AC24</f>
        <v>N/A</v>
      </c>
      <c r="AZ7" s="110" t="str">
        <f ca="1">RESULTADOS!AD24</f>
        <v>N/A</v>
      </c>
      <c r="BA7" s="110" t="str">
        <f ca="1">RESULTADOS!AE24</f>
        <v>N/A</v>
      </c>
      <c r="BB7" s="110" t="str">
        <f ca="1">RESULTADOS!AF24</f>
        <v>N/A</v>
      </c>
      <c r="BC7" s="110" t="str">
        <f ca="1">RESULTADOS!AG24</f>
        <v>N/A</v>
      </c>
      <c r="BD7" s="110" t="str">
        <f ca="1">RESULTADOS!AH24</f>
        <v>N/A</v>
      </c>
      <c r="BE7" s="110" t="str">
        <f ca="1">RESULTADOS!AI24</f>
        <v>N/A</v>
      </c>
      <c r="BF7" s="110" t="str">
        <f ca="1">RESULTADOS!AJ24</f>
        <v>Pasa</v>
      </c>
      <c r="BG7" s="110" t="str">
        <f ca="1">RESULTADOS!AK24</f>
        <v>N/A</v>
      </c>
      <c r="BH7" s="110" t="str">
        <f ca="1">RESULTADOS!AL24</f>
        <v>N/A</v>
      </c>
      <c r="BI7" s="110" t="str">
        <f ca="1">RESULTADOS!AM24</f>
        <v>N/A</v>
      </c>
      <c r="BJ7" s="110" t="str">
        <f ca="1">RESULTADOS!AN24</f>
        <v>N/A</v>
      </c>
      <c r="BK7" s="110" t="str">
        <f ca="1">RESULTADOS!AO24</f>
        <v>Falla</v>
      </c>
      <c r="BL7" s="110" t="str">
        <f ca="1">RESULTADOS!AP24</f>
        <v>Falla</v>
      </c>
      <c r="BM7" s="110" t="str">
        <f ca="1">RESULTADOS!AQ24</f>
        <v>Falla</v>
      </c>
      <c r="BN7" s="110" t="str">
        <f ca="1">RESULTADOS!AR24</f>
        <v>Pasa</v>
      </c>
      <c r="BO7" s="110" t="str">
        <f ca="1">RESULTADOS!AS24</f>
        <v>N/A</v>
      </c>
      <c r="BP7" s="110" t="str">
        <f ca="1">RESULTADOS!AT24</f>
        <v>N/A</v>
      </c>
      <c r="BQ7" s="110" t="str">
        <f ca="1">RESULTADOS!AU24</f>
        <v>N/A</v>
      </c>
      <c r="BR7" s="110" t="str">
        <f ca="1">RESULTADOS!AV24</f>
        <v>Pasa</v>
      </c>
      <c r="BS7" s="110" t="str">
        <f ca="1">RESULTADOS!AW24</f>
        <v>Falla</v>
      </c>
      <c r="BT7" s="110" t="str">
        <f ca="1">RESULTADOS!AX24</f>
        <v>N/A</v>
      </c>
      <c r="BU7" s="110" t="str">
        <f ca="1">RESULTADOS!AY24</f>
        <v>Falla</v>
      </c>
      <c r="BV7" s="110" t="str">
        <f ca="1">RESULTADOS!AZ24</f>
        <v>Falla</v>
      </c>
      <c r="BW7" s="110" t="str">
        <f ca="1">RESULTADOS!BA24</f>
        <v>Pasa</v>
      </c>
      <c r="BX7" s="110" t="str">
        <f ca="1">RESULTADOS!BB24</f>
        <v>Falla</v>
      </c>
      <c r="BY7" s="110" t="str">
        <f ca="1">RESULTADOS!BC24</f>
        <v>Pasa</v>
      </c>
      <c r="BZ7" s="110" t="str">
        <f ca="1">RESULTADOS!BD24</f>
        <v>Pasa</v>
      </c>
      <c r="CA7" s="110" t="str">
        <f ca="1">RESULTADOS!BE24</f>
        <v>N/A</v>
      </c>
      <c r="CB7" s="110" t="str">
        <f ca="1">RESULTADOS!BF24</f>
        <v>N/A</v>
      </c>
      <c r="CC7" s="110" t="str">
        <f ca="1">RESULTADOS!BG24</f>
        <v>N/A</v>
      </c>
      <c r="CD7" s="110" t="str">
        <f ca="1">RESULTADOS!BH24</f>
        <v>N/A</v>
      </c>
      <c r="CE7" s="110" t="str">
        <f ca="1">RESULTADOS!BI24</f>
        <v>N/A</v>
      </c>
      <c r="CF7" s="110" t="str">
        <f ca="1">RESULTADOS!BJ24</f>
        <v>Pasa</v>
      </c>
      <c r="CG7" s="110" t="str">
        <f ca="1">RESULTADOS!BK24</f>
        <v>Pasa</v>
      </c>
      <c r="CH7" s="110" t="str">
        <f ca="1">RESULTADOS!BL24</f>
        <v>Pasa</v>
      </c>
      <c r="CI7" s="110" t="str">
        <f ca="1">RESULTADOS!BM24</f>
        <v>Pasa</v>
      </c>
      <c r="CJ7" s="110" t="str">
        <f ca="1">RESULTADOS!BN24</f>
        <v>Pasa</v>
      </c>
      <c r="CK7" s="110" t="str">
        <f ca="1">RESULTADOS!BO24</f>
        <v>Pasa</v>
      </c>
      <c r="CL7" s="110" t="str">
        <f ca="1">RESULTADOS!BP24</f>
        <v>N/A</v>
      </c>
      <c r="CM7" s="110" t="str">
        <f ca="1">RESULTADOS!BQ24</f>
        <v>N/A</v>
      </c>
      <c r="CN7" s="110" t="str">
        <f ca="1">RESULTADOS!BR24</f>
        <v>Pasa</v>
      </c>
      <c r="CO7" s="110" t="str">
        <f ca="1">RESULTADOS!BS24</f>
        <v>N/A</v>
      </c>
      <c r="CP7" s="110" t="str">
        <f ca="1">RESULTADOS!BT24</f>
        <v>Pasa</v>
      </c>
      <c r="CQ7" s="110" t="str">
        <f ca="1">RESULTADOS!BU24</f>
        <v>N/A</v>
      </c>
      <c r="CR7" s="110" t="str">
        <f ca="1">RESULTADOS!BV24</f>
        <v>Pasa</v>
      </c>
      <c r="CS7" s="110" t="str">
        <f ca="1">RESULTADOS!BW24</f>
        <v>Pasa</v>
      </c>
      <c r="CT7" s="110" t="str">
        <f ca="1">RESULTADOS!BX24</f>
        <v>Pasa</v>
      </c>
      <c r="CU7" s="110" t="str">
        <f ca="1">RESULTADOS!BY24</f>
        <v>Pasa</v>
      </c>
      <c r="CV7" s="110" t="str">
        <f ca="1">RESULTADOS!BZ24</f>
        <v>N/A</v>
      </c>
      <c r="CW7" s="110" t="str">
        <f ca="1">RESULTADOS!CA24</f>
        <v>Falla</v>
      </c>
      <c r="CX7" s="110" t="str">
        <f ca="1">RESULTADOS!CB24</f>
        <v>N/A</v>
      </c>
      <c r="CY7" s="110" t="str">
        <f ca="1">RESULTADOS!CC24</f>
        <v>N/A</v>
      </c>
      <c r="CZ7" s="110" t="str">
        <f ca="1">RESULTADOS!CD24</f>
        <v>Pasa</v>
      </c>
      <c r="DA7" s="110" t="str">
        <f ca="1">RESULTADOS!CE24</f>
        <v>Pasa</v>
      </c>
      <c r="DB7" s="110" t="str">
        <f ca="1">RESULTADOS!CF24</f>
        <v>N/A</v>
      </c>
      <c r="DC7" s="110" t="str">
        <f ca="1">RESULTADOS!CG24</f>
        <v>Falla</v>
      </c>
      <c r="DD7" s="110" t="str">
        <f ca="1">RESULTADOS!CH24</f>
        <v>N/A</v>
      </c>
      <c r="DE7" s="110" t="str">
        <f ca="1">RESULTADOS!CI24</f>
        <v>N/A</v>
      </c>
      <c r="DF7" s="110" t="str">
        <f ca="1">RESULTADOS!CJ24</f>
        <v>N/A</v>
      </c>
      <c r="DG7" s="110" t="str">
        <f ca="1">RESULTADOS!CK24</f>
        <v>N/A</v>
      </c>
      <c r="DH7" s="110" t="str">
        <f ca="1">RESULTADOS!CL24</f>
        <v>N/A</v>
      </c>
      <c r="DI7" s="110" t="str">
        <f ca="1">RESULTADOS!CM24</f>
        <v>N/A</v>
      </c>
      <c r="DJ7" s="110" t="str">
        <f ca="1">RESULTADOS!CN24</f>
        <v>Pasa</v>
      </c>
      <c r="DK7" s="110" t="str">
        <f ca="1">RESULTADOS!CO24</f>
        <v>Falla</v>
      </c>
      <c r="DL7" s="110" t="str">
        <f ca="1">RESULTADOS!CP24</f>
        <v>Falla</v>
      </c>
      <c r="DM7" s="110" t="str">
        <f ca="1">RESULTADOS!CQ24</f>
        <v>Pasa</v>
      </c>
      <c r="DN7" s="110" t="str">
        <f ca="1">RESULTADOS!CR24</f>
        <v>Falla</v>
      </c>
      <c r="DO7" s="112" t="str">
        <f>RESULTADOS!B65</f>
        <v/>
      </c>
      <c r="DP7" s="112" t="str">
        <f>RESULTADOS!C65</f>
        <v/>
      </c>
      <c r="DQ7" s="112" t="str">
        <f t="shared" si="1"/>
        <v/>
      </c>
      <c r="DR7" s="112" t="str" cm="1">
        <f t="array" ref="DR7">IFERROR(INDEX('03.Muestra'!$E$8:$E$42,SMALL(IF("Documento no web"='03.Muestra'!$D$8:$D$42,ROW('03.Muestra'!$E$8:$E$42)-MIN(ROW('03.Muestra'!$D$8:$D$42))+1,""),ROW()-2)),"")</f>
        <v/>
      </c>
      <c r="DS7" s="112" t="str">
        <f>RESULTADOS!D65</f>
        <v/>
      </c>
      <c r="DT7" s="112" t="str" cm="1">
        <f t="array" ref="DT7">IFERROR(INDEX('03.Muestra'!$G$8:$G$42,SMALL(IF("Documento no web"='03.Muestra'!$D$8:$D$42,ROW('03.Muestra'!$G$8:$G$42)-MIN(ROW('03.Muestra'!$D$8:$D$42))+1,""),ROW()-2)),"")</f>
        <v/>
      </c>
      <c r="DU7" s="187" t="str" cm="1">
        <f t="array" ref="DU7">IFERROR(INDEX('03.Muestra'!$H$8:$H$42,SMALL(IF("Documento no web"='03.Muestra'!$D$8:$D$42,ROW('03.Muestra'!$H$8:$H$42)-MIN(ROW('03.Muestra'!$D$8:$D$42))+1,""),ROW()-2)),"")</f>
        <v/>
      </c>
      <c r="DV7" s="110" t="str">
        <f ca="1">RESULTADOS!E65</f>
        <v/>
      </c>
      <c r="DW7" s="110" t="str">
        <f ca="1">RESULTADOS!F65</f>
        <v/>
      </c>
      <c r="DX7" s="110" t="str">
        <f ca="1">RESULTADOS!G65</f>
        <v/>
      </c>
      <c r="DY7" s="110" t="str">
        <f ca="1">RESULTADOS!H65</f>
        <v/>
      </c>
      <c r="DZ7" s="110" t="str">
        <f ca="1">RESULTADOS!I65</f>
        <v/>
      </c>
      <c r="EA7" s="110" t="str">
        <f ca="1">RESULTADOS!J65</f>
        <v/>
      </c>
      <c r="EB7" s="110" t="str">
        <f ca="1">RESULTADOS!K65</f>
        <v/>
      </c>
      <c r="EC7" s="110" t="str">
        <f ca="1">RESULTADOS!L65</f>
        <v/>
      </c>
      <c r="ED7" s="110" t="str">
        <f ca="1">RESULTADOS!M65</f>
        <v/>
      </c>
      <c r="EE7" s="110" t="str">
        <f ca="1">RESULTADOS!N65</f>
        <v/>
      </c>
      <c r="EF7" s="110" t="str">
        <f ca="1">RESULTADOS!O65</f>
        <v/>
      </c>
      <c r="EG7" s="110" t="str">
        <f ca="1">RESULTADOS!P65</f>
        <v/>
      </c>
      <c r="EH7" s="110" t="str">
        <f ca="1">RESULTADOS!Q65</f>
        <v/>
      </c>
      <c r="EI7" s="110" t="str">
        <f ca="1">RESULTADOS!R65</f>
        <v/>
      </c>
      <c r="EJ7" s="110" t="str">
        <f ca="1">RESULTADOS!S65</f>
        <v/>
      </c>
      <c r="EK7" s="110" t="str">
        <f ca="1">RESULTADOS!T65</f>
        <v/>
      </c>
      <c r="EL7" s="110" t="str">
        <f ca="1">RESULTADOS!U65</f>
        <v/>
      </c>
      <c r="EM7" s="110" t="str">
        <f ca="1">RESULTADOS!V65</f>
        <v/>
      </c>
      <c r="EN7" s="110" t="str">
        <f ca="1">RESULTADOS!W65</f>
        <v/>
      </c>
      <c r="EO7" s="110" t="str">
        <f ca="1">RESULTADOS!X65</f>
        <v/>
      </c>
      <c r="EP7" s="110" t="str">
        <f ca="1">RESULTADOS!Y65</f>
        <v/>
      </c>
      <c r="EQ7" s="110" t="str">
        <f ca="1">RESULTADOS!Z65</f>
        <v/>
      </c>
      <c r="ER7" s="110" t="str">
        <f ca="1">RESULTADOS!AA65</f>
        <v/>
      </c>
      <c r="ES7" s="110" t="str">
        <f ca="1">RESULTADOS!AB65</f>
        <v/>
      </c>
      <c r="ET7" s="110" t="str">
        <f ca="1">RESULTADOS!AC65</f>
        <v/>
      </c>
      <c r="EU7" s="110" t="str">
        <f ca="1">RESULTADOS!AD65</f>
        <v/>
      </c>
      <c r="EV7" s="110" t="str">
        <f ca="1">RESULTADOS!AE65</f>
        <v/>
      </c>
      <c r="EW7" s="110" t="str">
        <f ca="1">RESULTADOS!AF65</f>
        <v/>
      </c>
      <c r="EX7" s="110" t="str">
        <f ca="1">RESULTADOS!AG65</f>
        <v/>
      </c>
      <c r="EY7" s="110" t="str">
        <f ca="1">RESULTADOS!AH65</f>
        <v/>
      </c>
      <c r="EZ7" s="110" t="str">
        <f ca="1">RESULTADOS!AI65</f>
        <v/>
      </c>
      <c r="FA7" s="110" t="str">
        <f ca="1">RESULTADOS!AJ65</f>
        <v/>
      </c>
      <c r="FB7" s="110" t="str">
        <f ca="1">RESULTADOS!AK65</f>
        <v/>
      </c>
      <c r="FC7" s="110" t="str">
        <f ca="1">RESULTADOS!AL65</f>
        <v/>
      </c>
      <c r="FD7" s="110" t="str">
        <f ca="1">RESULTADOS!AM65</f>
        <v/>
      </c>
      <c r="FE7" s="110" t="str">
        <f ca="1">RESULTADOS!AN65</f>
        <v/>
      </c>
      <c r="FF7" s="110" t="str">
        <f ca="1">RESULTADOS!AO65</f>
        <v/>
      </c>
      <c r="FG7" s="110" t="str">
        <f ca="1">RESULTADOS!AP65</f>
        <v/>
      </c>
      <c r="FH7" s="110" t="str">
        <f ca="1">RESULTADOS!AQ65</f>
        <v/>
      </c>
      <c r="FI7" s="110" t="str">
        <f ca="1">RESULTADOS!AR65</f>
        <v/>
      </c>
      <c r="FJ7" s="110" t="str">
        <f ca="1">RESULTADOS!AS65</f>
        <v/>
      </c>
      <c r="FK7" s="110" t="str">
        <f ca="1">RESULTADOS!AT65</f>
        <v/>
      </c>
      <c r="FL7" s="110" t="str">
        <f ca="1">RESULTADOS!AU65</f>
        <v/>
      </c>
      <c r="FM7" s="110" t="str">
        <f ca="1">RESULTADOS!AV65</f>
        <v/>
      </c>
      <c r="FN7" s="110" t="str">
        <f ca="1">RESULTADOS!AW65</f>
        <v/>
      </c>
    </row>
    <row r="8" spans="1:170" ht="13">
      <c r="C8" s="108" t="s">
        <v>20</v>
      </c>
      <c r="D8" s="111">
        <f>'01.Definición de ámbito'!C21</f>
        <v>0</v>
      </c>
      <c r="E8" s="108" t="s">
        <v>57</v>
      </c>
      <c r="F8" s="111" t="str">
        <f>'02.Tecnologías'!F10</f>
        <v>No</v>
      </c>
      <c r="G8" s="111">
        <f>'02.Tecnologías'!K18</f>
        <v>0</v>
      </c>
      <c r="H8" s="111">
        <f>'02.Tecnologías'!L18</f>
        <v>0</v>
      </c>
      <c r="I8" s="161"/>
      <c r="J8" s="161"/>
      <c r="K8" s="108"/>
      <c r="L8" s="108"/>
      <c r="M8" s="108"/>
      <c r="T8" s="112">
        <f>RESULTADOS!B25</f>
        <v>6</v>
      </c>
      <c r="U8" s="112" t="str">
        <f>RESULTADOS!C25</f>
        <v>Quejas</v>
      </c>
      <c r="V8" s="112" t="str">
        <f t="shared" si="0"/>
        <v>Página web</v>
      </c>
      <c r="W8" s="112" t="str">
        <v>Pagina tipo</v>
      </c>
      <c r="X8" s="112" t="str">
        <f>RESULTADOS!D25</f>
        <v>https://www.comunidad.madrid/transparencia/quejas-y-reclamaciones</v>
      </c>
      <c r="Y8" s="112" t="str">
        <v>Inicio - Servicios y procedimientos - Sugerencias, quejas y reclamaciones</v>
      </c>
      <c r="Z8" s="187">
        <v>0</v>
      </c>
      <c r="AA8" s="110" t="str">
        <f ca="1">RESULTADOS!E25</f>
        <v>N/A</v>
      </c>
      <c r="AB8" s="110" t="str">
        <f ca="1">RESULTADOS!F25</f>
        <v>N/A</v>
      </c>
      <c r="AC8" s="110" t="str">
        <f ca="1">RESULTADOS!G25</f>
        <v>N/A</v>
      </c>
      <c r="AD8" s="110" t="str">
        <f ca="1">RESULTADOS!H25</f>
        <v>N/A</v>
      </c>
      <c r="AE8" s="110" t="str">
        <f ca="1">RESULTADOS!I25</f>
        <v>N/A</v>
      </c>
      <c r="AF8" s="110" t="str">
        <f ca="1">RESULTADOS!J25</f>
        <v>N/A</v>
      </c>
      <c r="AG8" s="110" t="str">
        <f ca="1">RESULTADOS!K25</f>
        <v>N/A</v>
      </c>
      <c r="AH8" s="110" t="str">
        <f ca="1">RESULTADOS!L25</f>
        <v>N/A</v>
      </c>
      <c r="AI8" s="110" t="str">
        <f ca="1">RESULTADOS!M25</f>
        <v>N/A</v>
      </c>
      <c r="AJ8" s="110" t="str">
        <f ca="1">RESULTADOS!N25</f>
        <v>N/A</v>
      </c>
      <c r="AK8" s="110" t="str">
        <f ca="1">RESULTADOS!O25</f>
        <v>N/A</v>
      </c>
      <c r="AL8" s="110" t="str">
        <f ca="1">RESULTADOS!P25</f>
        <v>N/A</v>
      </c>
      <c r="AM8" s="110" t="str">
        <f ca="1">RESULTADOS!Q25</f>
        <v>N/A</v>
      </c>
      <c r="AN8" s="110" t="str">
        <f ca="1">RESULTADOS!R25</f>
        <v>N/A</v>
      </c>
      <c r="AO8" s="110" t="str">
        <f ca="1">RESULTADOS!S25</f>
        <v>N/A</v>
      </c>
      <c r="AP8" s="110" t="str">
        <f ca="1">RESULTADOS!T25</f>
        <v>N/A</v>
      </c>
      <c r="AQ8" s="110" t="str">
        <f ca="1">RESULTADOS!U25</f>
        <v>N/A</v>
      </c>
      <c r="AR8" s="110" t="str">
        <f ca="1">RESULTADOS!V25</f>
        <v>N/A</v>
      </c>
      <c r="AS8" s="110" t="str">
        <f ca="1">RESULTADOS!W25</f>
        <v>N/A</v>
      </c>
      <c r="AT8" s="110" t="str">
        <f ca="1">RESULTADOS!X25</f>
        <v>N/A</v>
      </c>
      <c r="AU8" s="110" t="str">
        <f ca="1">RESULTADOS!Y25</f>
        <v>N/A</v>
      </c>
      <c r="AV8" s="110" t="str">
        <f ca="1">RESULTADOS!Z25</f>
        <v>N/A</v>
      </c>
      <c r="AW8" s="110" t="str">
        <f ca="1">RESULTADOS!AA25</f>
        <v>N/A</v>
      </c>
      <c r="AX8" s="110" t="str">
        <f ca="1">RESULTADOS!AB25</f>
        <v>N/A</v>
      </c>
      <c r="AY8" s="110" t="str">
        <f ca="1">RESULTADOS!AC25</f>
        <v>N/A</v>
      </c>
      <c r="AZ8" s="110" t="str">
        <f ca="1">RESULTADOS!AD25</f>
        <v>N/A</v>
      </c>
      <c r="BA8" s="110" t="str">
        <f ca="1">RESULTADOS!AE25</f>
        <v>N/A</v>
      </c>
      <c r="BB8" s="110" t="str">
        <f ca="1">RESULTADOS!AF25</f>
        <v>N/A</v>
      </c>
      <c r="BC8" s="110" t="str">
        <f ca="1">RESULTADOS!AG25</f>
        <v>N/A</v>
      </c>
      <c r="BD8" s="110" t="str">
        <f ca="1">RESULTADOS!AH25</f>
        <v>N/A</v>
      </c>
      <c r="BE8" s="110" t="str">
        <f ca="1">RESULTADOS!AI25</f>
        <v>N/A</v>
      </c>
      <c r="BF8" s="110" t="str">
        <f ca="1">RESULTADOS!AJ25</f>
        <v>Pasa</v>
      </c>
      <c r="BG8" s="110" t="str">
        <f ca="1">RESULTADOS!AK25</f>
        <v>N/A</v>
      </c>
      <c r="BH8" s="110" t="str">
        <f ca="1">RESULTADOS!AL25</f>
        <v>N/A</v>
      </c>
      <c r="BI8" s="110" t="str">
        <f ca="1">RESULTADOS!AM25</f>
        <v>N/A</v>
      </c>
      <c r="BJ8" s="110" t="str">
        <f ca="1">RESULTADOS!AN25</f>
        <v>N/A</v>
      </c>
      <c r="BK8" s="110" t="str">
        <f ca="1">RESULTADOS!AO25</f>
        <v>Pasa</v>
      </c>
      <c r="BL8" s="110" t="str">
        <f ca="1">RESULTADOS!AP25</f>
        <v>Falla</v>
      </c>
      <c r="BM8" s="110" t="str">
        <f ca="1">RESULTADOS!AQ25</f>
        <v>Falla</v>
      </c>
      <c r="BN8" s="110" t="str">
        <f ca="1">RESULTADOS!AR25</f>
        <v>Pasa</v>
      </c>
      <c r="BO8" s="110" t="str">
        <f ca="1">RESULTADOS!AS25</f>
        <v>N/A</v>
      </c>
      <c r="BP8" s="110" t="str">
        <f ca="1">RESULTADOS!AT25</f>
        <v>N/A</v>
      </c>
      <c r="BQ8" s="110" t="str">
        <f ca="1">RESULTADOS!AU25</f>
        <v>N/A</v>
      </c>
      <c r="BR8" s="110" t="str">
        <f ca="1">RESULTADOS!AV25</f>
        <v>Pasa</v>
      </c>
      <c r="BS8" s="110" t="str">
        <f ca="1">RESULTADOS!AW25</f>
        <v>Falla</v>
      </c>
      <c r="BT8" s="110" t="str">
        <f ca="1">RESULTADOS!AX25</f>
        <v>N/A</v>
      </c>
      <c r="BU8" s="110" t="str">
        <f ca="1">RESULTADOS!AY25</f>
        <v>Falla</v>
      </c>
      <c r="BV8" s="110" t="str">
        <f ca="1">RESULTADOS!AZ25</f>
        <v>Falla</v>
      </c>
      <c r="BW8" s="110" t="str">
        <f ca="1">RESULTADOS!BA25</f>
        <v>Pasa</v>
      </c>
      <c r="BX8" s="110" t="str">
        <f ca="1">RESULTADOS!BB25</f>
        <v>Falla</v>
      </c>
      <c r="BY8" s="110" t="str">
        <f ca="1">RESULTADOS!BC25</f>
        <v>Pasa</v>
      </c>
      <c r="BZ8" s="110" t="str">
        <f ca="1">RESULTADOS!BD25</f>
        <v>Pasa</v>
      </c>
      <c r="CA8" s="110" t="str">
        <f ca="1">RESULTADOS!BE25</f>
        <v>N/A</v>
      </c>
      <c r="CB8" s="110" t="str">
        <f ca="1">RESULTADOS!BF25</f>
        <v>N/A</v>
      </c>
      <c r="CC8" s="110" t="str">
        <f ca="1">RESULTADOS!BG25</f>
        <v>N/A</v>
      </c>
      <c r="CD8" s="110" t="str">
        <f ca="1">RESULTADOS!BH25</f>
        <v>N/A</v>
      </c>
      <c r="CE8" s="110" t="str">
        <f ca="1">RESULTADOS!BI25</f>
        <v>N/A</v>
      </c>
      <c r="CF8" s="110" t="str">
        <f ca="1">RESULTADOS!BJ25</f>
        <v>Pasa</v>
      </c>
      <c r="CG8" s="110" t="str">
        <f ca="1">RESULTADOS!BK25</f>
        <v>Pasa</v>
      </c>
      <c r="CH8" s="110" t="str">
        <f ca="1">RESULTADOS!BL25</f>
        <v>Pasa</v>
      </c>
      <c r="CI8" s="110" t="str">
        <f ca="1">RESULTADOS!BM25</f>
        <v>Pasa</v>
      </c>
      <c r="CJ8" s="110" t="str">
        <f ca="1">RESULTADOS!BN25</f>
        <v>Pasa</v>
      </c>
      <c r="CK8" s="110" t="str">
        <f ca="1">RESULTADOS!BO25</f>
        <v>Pasa</v>
      </c>
      <c r="CL8" s="110" t="str">
        <f ca="1">RESULTADOS!BP25</f>
        <v>N/A</v>
      </c>
      <c r="CM8" s="110" t="str">
        <f ca="1">RESULTADOS!BQ25</f>
        <v>N/A</v>
      </c>
      <c r="CN8" s="110" t="str">
        <f ca="1">RESULTADOS!BR25</f>
        <v>Pasa</v>
      </c>
      <c r="CO8" s="110" t="str">
        <f ca="1">RESULTADOS!BS25</f>
        <v>N/A</v>
      </c>
      <c r="CP8" s="110" t="str">
        <f ca="1">RESULTADOS!BT25</f>
        <v>Pasa</v>
      </c>
      <c r="CQ8" s="110" t="str">
        <f ca="1">RESULTADOS!BU25</f>
        <v>N/A</v>
      </c>
      <c r="CR8" s="110" t="str">
        <f ca="1">RESULTADOS!BV25</f>
        <v>Pasa</v>
      </c>
      <c r="CS8" s="110" t="str">
        <f ca="1">RESULTADOS!BW25</f>
        <v>Pasa</v>
      </c>
      <c r="CT8" s="110" t="str">
        <f ca="1">RESULTADOS!BX25</f>
        <v>Pasa</v>
      </c>
      <c r="CU8" s="110" t="str">
        <f ca="1">RESULTADOS!BY25</f>
        <v>Pasa</v>
      </c>
      <c r="CV8" s="110" t="str">
        <f ca="1">RESULTADOS!BZ25</f>
        <v>N/A</v>
      </c>
      <c r="CW8" s="110" t="str">
        <f ca="1">RESULTADOS!CA25</f>
        <v>Pasa</v>
      </c>
      <c r="CX8" s="110" t="str">
        <f ca="1">RESULTADOS!CB25</f>
        <v>N/A</v>
      </c>
      <c r="CY8" s="110" t="str">
        <f ca="1">RESULTADOS!CC25</f>
        <v>N/A</v>
      </c>
      <c r="CZ8" s="110" t="str">
        <f ca="1">RESULTADOS!CD25</f>
        <v>Pasa</v>
      </c>
      <c r="DA8" s="110" t="str">
        <f ca="1">RESULTADOS!CE25</f>
        <v>Pasa</v>
      </c>
      <c r="DB8" s="110" t="str">
        <f ca="1">RESULTADOS!CF25</f>
        <v>N/A</v>
      </c>
      <c r="DC8" s="110" t="str">
        <f ca="1">RESULTADOS!CG25</f>
        <v>Falla</v>
      </c>
      <c r="DD8" s="110" t="str">
        <f ca="1">RESULTADOS!CH25</f>
        <v>N/A</v>
      </c>
      <c r="DE8" s="110" t="str">
        <f ca="1">RESULTADOS!CI25</f>
        <v>N/A</v>
      </c>
      <c r="DF8" s="110" t="str">
        <f ca="1">RESULTADOS!CJ25</f>
        <v>N/A</v>
      </c>
      <c r="DG8" s="110" t="str">
        <f ca="1">RESULTADOS!CK25</f>
        <v>N/A</v>
      </c>
      <c r="DH8" s="110" t="str">
        <f ca="1">RESULTADOS!CL25</f>
        <v>N/A</v>
      </c>
      <c r="DI8" s="110" t="str">
        <f ca="1">RESULTADOS!CM25</f>
        <v>N/A</v>
      </c>
      <c r="DJ8" s="110" t="str">
        <f ca="1">RESULTADOS!CN25</f>
        <v>Pasa</v>
      </c>
      <c r="DK8" s="110" t="str">
        <f ca="1">RESULTADOS!CO25</f>
        <v>Falla</v>
      </c>
      <c r="DL8" s="110" t="str">
        <f ca="1">RESULTADOS!CP25</f>
        <v>Falla</v>
      </c>
      <c r="DM8" s="110" t="str">
        <f ca="1">RESULTADOS!CQ25</f>
        <v>Pasa</v>
      </c>
      <c r="DN8" s="110" t="str">
        <f ca="1">RESULTADOS!CR25</f>
        <v>Falla</v>
      </c>
      <c r="DO8" s="112" t="str">
        <f>RESULTADOS!B66</f>
        <v/>
      </c>
      <c r="DP8" s="112" t="str">
        <f>RESULTADOS!C66</f>
        <v/>
      </c>
      <c r="DQ8" s="112" t="str">
        <f t="shared" si="1"/>
        <v/>
      </c>
      <c r="DR8" s="112" t="str" cm="1">
        <f t="array" ref="DR8">IFERROR(INDEX('03.Muestra'!$E$8:$E$42,SMALL(IF("Documento no web"='03.Muestra'!$D$8:$D$42,ROW('03.Muestra'!$E$8:$E$42)-MIN(ROW('03.Muestra'!$D$8:$D$42))+1,""),ROW()-2)),"")</f>
        <v/>
      </c>
      <c r="DS8" s="112" t="str">
        <f>RESULTADOS!D66</f>
        <v/>
      </c>
      <c r="DT8" s="112" t="str" cm="1">
        <f t="array" ref="DT8">IFERROR(INDEX('03.Muestra'!$G$8:$G$42,SMALL(IF("Documento no web"='03.Muestra'!$D$8:$D$42,ROW('03.Muestra'!$G$8:$G$42)-MIN(ROW('03.Muestra'!$D$8:$D$42))+1,""),ROW()-2)),"")</f>
        <v/>
      </c>
      <c r="DU8" s="187" t="str" cm="1">
        <f t="array" ref="DU8">IFERROR(INDEX('03.Muestra'!$H$8:$H$42,SMALL(IF("Documento no web"='03.Muestra'!$D$8:$D$42,ROW('03.Muestra'!$H$8:$H$42)-MIN(ROW('03.Muestra'!$D$8:$D$42))+1,""),ROW()-2)),"")</f>
        <v/>
      </c>
      <c r="DV8" s="110" t="str">
        <f ca="1">RESULTADOS!E66</f>
        <v/>
      </c>
      <c r="DW8" s="110" t="str">
        <f ca="1">RESULTADOS!F66</f>
        <v/>
      </c>
      <c r="DX8" s="110" t="str">
        <f ca="1">RESULTADOS!G66</f>
        <v/>
      </c>
      <c r="DY8" s="110" t="str">
        <f ca="1">RESULTADOS!H66</f>
        <v/>
      </c>
      <c r="DZ8" s="110" t="str">
        <f ca="1">RESULTADOS!I66</f>
        <v/>
      </c>
      <c r="EA8" s="110" t="str">
        <f ca="1">RESULTADOS!J66</f>
        <v/>
      </c>
      <c r="EB8" s="110" t="str">
        <f ca="1">RESULTADOS!K66</f>
        <v/>
      </c>
      <c r="EC8" s="110" t="str">
        <f ca="1">RESULTADOS!L66</f>
        <v/>
      </c>
      <c r="ED8" s="110" t="str">
        <f ca="1">RESULTADOS!M66</f>
        <v/>
      </c>
      <c r="EE8" s="110" t="str">
        <f ca="1">RESULTADOS!N66</f>
        <v/>
      </c>
      <c r="EF8" s="110" t="str">
        <f ca="1">RESULTADOS!O66</f>
        <v/>
      </c>
      <c r="EG8" s="110" t="str">
        <f ca="1">RESULTADOS!P66</f>
        <v/>
      </c>
      <c r="EH8" s="110" t="str">
        <f ca="1">RESULTADOS!Q66</f>
        <v/>
      </c>
      <c r="EI8" s="110" t="str">
        <f ca="1">RESULTADOS!R66</f>
        <v/>
      </c>
      <c r="EJ8" s="110" t="str">
        <f ca="1">RESULTADOS!S66</f>
        <v/>
      </c>
      <c r="EK8" s="110" t="str">
        <f ca="1">RESULTADOS!T66</f>
        <v/>
      </c>
      <c r="EL8" s="110" t="str">
        <f ca="1">RESULTADOS!U66</f>
        <v/>
      </c>
      <c r="EM8" s="110" t="str">
        <f ca="1">RESULTADOS!V66</f>
        <v/>
      </c>
      <c r="EN8" s="110" t="str">
        <f ca="1">RESULTADOS!W66</f>
        <v/>
      </c>
      <c r="EO8" s="110" t="str">
        <f ca="1">RESULTADOS!X66</f>
        <v/>
      </c>
      <c r="EP8" s="110" t="str">
        <f ca="1">RESULTADOS!Y66</f>
        <v/>
      </c>
      <c r="EQ8" s="110" t="str">
        <f ca="1">RESULTADOS!Z66</f>
        <v/>
      </c>
      <c r="ER8" s="110" t="str">
        <f ca="1">RESULTADOS!AA66</f>
        <v/>
      </c>
      <c r="ES8" s="110" t="str">
        <f ca="1">RESULTADOS!AB66</f>
        <v/>
      </c>
      <c r="ET8" s="110" t="str">
        <f ca="1">RESULTADOS!AC66</f>
        <v/>
      </c>
      <c r="EU8" s="110" t="str">
        <f ca="1">RESULTADOS!AD66</f>
        <v/>
      </c>
      <c r="EV8" s="110" t="str">
        <f ca="1">RESULTADOS!AE66</f>
        <v/>
      </c>
      <c r="EW8" s="110" t="str">
        <f ca="1">RESULTADOS!AF66</f>
        <v/>
      </c>
      <c r="EX8" s="110" t="str">
        <f ca="1">RESULTADOS!AG66</f>
        <v/>
      </c>
      <c r="EY8" s="110" t="str">
        <f ca="1">RESULTADOS!AH66</f>
        <v/>
      </c>
      <c r="EZ8" s="110" t="str">
        <f ca="1">RESULTADOS!AI66</f>
        <v/>
      </c>
      <c r="FA8" s="110" t="str">
        <f ca="1">RESULTADOS!AJ66</f>
        <v/>
      </c>
      <c r="FB8" s="110" t="str">
        <f ca="1">RESULTADOS!AK66</f>
        <v/>
      </c>
      <c r="FC8" s="110" t="str">
        <f ca="1">RESULTADOS!AL66</f>
        <v/>
      </c>
      <c r="FD8" s="110" t="str">
        <f ca="1">RESULTADOS!AM66</f>
        <v/>
      </c>
      <c r="FE8" s="110" t="str">
        <f ca="1">RESULTADOS!AN66</f>
        <v/>
      </c>
      <c r="FF8" s="110" t="str">
        <f ca="1">RESULTADOS!AO66</f>
        <v/>
      </c>
      <c r="FG8" s="110" t="str">
        <f ca="1">RESULTADOS!AP66</f>
        <v/>
      </c>
      <c r="FH8" s="110" t="str">
        <f ca="1">RESULTADOS!AQ66</f>
        <v/>
      </c>
      <c r="FI8" s="110" t="str">
        <f ca="1">RESULTADOS!AR66</f>
        <v/>
      </c>
      <c r="FJ8" s="110" t="str">
        <f ca="1">RESULTADOS!AS66</f>
        <v/>
      </c>
      <c r="FK8" s="110" t="str">
        <f ca="1">RESULTADOS!AT66</f>
        <v/>
      </c>
      <c r="FL8" s="110" t="str">
        <f ca="1">RESULTADOS!AU66</f>
        <v/>
      </c>
      <c r="FM8" s="110" t="str">
        <f ca="1">RESULTADOS!AV66</f>
        <v/>
      </c>
      <c r="FN8" s="110" t="str">
        <f ca="1">RESULTADOS!AW66</f>
        <v/>
      </c>
    </row>
    <row r="9" spans="1:170" ht="13">
      <c r="C9" s="108" t="s">
        <v>21</v>
      </c>
      <c r="D9" s="111" t="str">
        <f>'01.Definición de ámbito'!C25</f>
        <v>Sedes electrónicas y servicios electrónicos</v>
      </c>
      <c r="E9" s="108" t="s">
        <v>60</v>
      </c>
      <c r="F9" s="111" t="str">
        <f>'02.Tecnologías'!F11</f>
        <v>No</v>
      </c>
      <c r="G9" s="111">
        <f>'02.Tecnologías'!K19</f>
        <v>0</v>
      </c>
      <c r="H9" s="111">
        <f>'02.Tecnologías'!L19</f>
        <v>0</v>
      </c>
      <c r="I9" s="161"/>
      <c r="J9" s="161"/>
      <c r="K9" s="108"/>
      <c r="L9" s="108"/>
      <c r="M9" s="108"/>
      <c r="T9" s="112">
        <f>RESULTADOS!B26</f>
        <v>7</v>
      </c>
      <c r="U9" s="112" t="str">
        <f>RESULTADOS!C26</f>
        <v>Contratos</v>
      </c>
      <c r="V9" s="112" t="str">
        <f t="shared" si="0"/>
        <v>Página web</v>
      </c>
      <c r="W9" s="112" t="str">
        <v>Pagina tipo</v>
      </c>
      <c r="X9" s="112" t="str">
        <f>RESULTADOS!D26</f>
        <v>https://www.comunidad.madrid/transparencia/contratos</v>
      </c>
      <c r="Y9" s="112" t="str">
        <v>Inicio - Presupuestos, contratos y subvenciones - Contratos</v>
      </c>
      <c r="Z9" s="187">
        <v>0</v>
      </c>
      <c r="AA9" s="110" t="str">
        <f ca="1">RESULTADOS!E26</f>
        <v>N/A</v>
      </c>
      <c r="AB9" s="110" t="str">
        <f ca="1">RESULTADOS!F26</f>
        <v>N/A</v>
      </c>
      <c r="AC9" s="110" t="str">
        <f ca="1">RESULTADOS!G26</f>
        <v>N/A</v>
      </c>
      <c r="AD9" s="110" t="str">
        <f ca="1">RESULTADOS!H26</f>
        <v>N/A</v>
      </c>
      <c r="AE9" s="110" t="str">
        <f ca="1">RESULTADOS!I26</f>
        <v>N/A</v>
      </c>
      <c r="AF9" s="110" t="str">
        <f ca="1">RESULTADOS!J26</f>
        <v>N/A</v>
      </c>
      <c r="AG9" s="110" t="str">
        <f ca="1">RESULTADOS!K26</f>
        <v>N/A</v>
      </c>
      <c r="AH9" s="110" t="str">
        <f ca="1">RESULTADOS!L26</f>
        <v>N/A</v>
      </c>
      <c r="AI9" s="110" t="str">
        <f ca="1">RESULTADOS!M26</f>
        <v>N/A</v>
      </c>
      <c r="AJ9" s="110" t="str">
        <f ca="1">RESULTADOS!N26</f>
        <v>N/A</v>
      </c>
      <c r="AK9" s="110" t="str">
        <f ca="1">RESULTADOS!O26</f>
        <v>N/A</v>
      </c>
      <c r="AL9" s="110" t="str">
        <f ca="1">RESULTADOS!P26</f>
        <v>N/A</v>
      </c>
      <c r="AM9" s="110" t="str">
        <f ca="1">RESULTADOS!Q26</f>
        <v>N/A</v>
      </c>
      <c r="AN9" s="110" t="str">
        <f ca="1">RESULTADOS!R26</f>
        <v>N/A</v>
      </c>
      <c r="AO9" s="110" t="str">
        <f ca="1">RESULTADOS!S26</f>
        <v>N/A</v>
      </c>
      <c r="AP9" s="110" t="str">
        <f ca="1">RESULTADOS!T26</f>
        <v>N/A</v>
      </c>
      <c r="AQ9" s="110" t="str">
        <f ca="1">RESULTADOS!U26</f>
        <v>N/A</v>
      </c>
      <c r="AR9" s="110" t="str">
        <f ca="1">RESULTADOS!V26</f>
        <v>N/A</v>
      </c>
      <c r="AS9" s="110" t="str">
        <f ca="1">RESULTADOS!W26</f>
        <v>N/A</v>
      </c>
      <c r="AT9" s="110" t="str">
        <f ca="1">RESULTADOS!X26</f>
        <v>N/A</v>
      </c>
      <c r="AU9" s="110" t="str">
        <f ca="1">RESULTADOS!Y26</f>
        <v>N/A</v>
      </c>
      <c r="AV9" s="110" t="str">
        <f ca="1">RESULTADOS!Z26</f>
        <v>N/A</v>
      </c>
      <c r="AW9" s="110" t="str">
        <f ca="1">RESULTADOS!AA26</f>
        <v>N/A</v>
      </c>
      <c r="AX9" s="110" t="str">
        <f ca="1">RESULTADOS!AB26</f>
        <v>N/A</v>
      </c>
      <c r="AY9" s="110" t="str">
        <f ca="1">RESULTADOS!AC26</f>
        <v>N/A</v>
      </c>
      <c r="AZ9" s="110" t="str">
        <f ca="1">RESULTADOS!AD26</f>
        <v>N/A</v>
      </c>
      <c r="BA9" s="110" t="str">
        <f ca="1">RESULTADOS!AE26</f>
        <v>N/A</v>
      </c>
      <c r="BB9" s="110" t="str">
        <f ca="1">RESULTADOS!AF26</f>
        <v>N/A</v>
      </c>
      <c r="BC9" s="110" t="str">
        <f ca="1">RESULTADOS!AG26</f>
        <v>N/A</v>
      </c>
      <c r="BD9" s="110" t="str">
        <f ca="1">RESULTADOS!AH26</f>
        <v>N/A</v>
      </c>
      <c r="BE9" s="110" t="str">
        <f ca="1">RESULTADOS!AI26</f>
        <v>N/A</v>
      </c>
      <c r="BF9" s="110" t="str">
        <f ca="1">RESULTADOS!AJ26</f>
        <v>Pasa</v>
      </c>
      <c r="BG9" s="110" t="str">
        <f ca="1">RESULTADOS!AK26</f>
        <v>N/A</v>
      </c>
      <c r="BH9" s="110" t="str">
        <f ca="1">RESULTADOS!AL26</f>
        <v>N/A</v>
      </c>
      <c r="BI9" s="110" t="str">
        <f ca="1">RESULTADOS!AM26</f>
        <v>N/A</v>
      </c>
      <c r="BJ9" s="110" t="str">
        <f ca="1">RESULTADOS!AN26</f>
        <v>N/A</v>
      </c>
      <c r="BK9" s="110" t="str">
        <f ca="1">RESULTADOS!AO26</f>
        <v>Pasa</v>
      </c>
      <c r="BL9" s="110" t="str">
        <f ca="1">RESULTADOS!AP26</f>
        <v>Falla</v>
      </c>
      <c r="BM9" s="110" t="str">
        <f ca="1">RESULTADOS!AQ26</f>
        <v>Falla</v>
      </c>
      <c r="BN9" s="110" t="str">
        <f ca="1">RESULTADOS!AR26</f>
        <v>Pasa</v>
      </c>
      <c r="BO9" s="110" t="str">
        <f ca="1">RESULTADOS!AS26</f>
        <v>N/A</v>
      </c>
      <c r="BP9" s="110" t="str">
        <f ca="1">RESULTADOS!AT26</f>
        <v>N/A</v>
      </c>
      <c r="BQ9" s="110" t="str">
        <f ca="1">RESULTADOS!AU26</f>
        <v>N/A</v>
      </c>
      <c r="BR9" s="110" t="str">
        <f ca="1">RESULTADOS!AV26</f>
        <v>Pasa</v>
      </c>
      <c r="BS9" s="110" t="str">
        <f ca="1">RESULTADOS!AW26</f>
        <v>Falla</v>
      </c>
      <c r="BT9" s="110" t="str">
        <f ca="1">RESULTADOS!AX26</f>
        <v>N/A</v>
      </c>
      <c r="BU9" s="110" t="str">
        <f ca="1">RESULTADOS!AY26</f>
        <v>Falla</v>
      </c>
      <c r="BV9" s="110" t="str">
        <f ca="1">RESULTADOS!AZ26</f>
        <v>Falla</v>
      </c>
      <c r="BW9" s="110" t="str">
        <f ca="1">RESULTADOS!BA26</f>
        <v>Pasa</v>
      </c>
      <c r="BX9" s="110" t="str">
        <f ca="1">RESULTADOS!BB26</f>
        <v>Falla</v>
      </c>
      <c r="BY9" s="110" t="str">
        <f ca="1">RESULTADOS!BC26</f>
        <v>Pasa</v>
      </c>
      <c r="BZ9" s="110" t="str">
        <f ca="1">RESULTADOS!BD26</f>
        <v>Pasa</v>
      </c>
      <c r="CA9" s="110" t="str">
        <f ca="1">RESULTADOS!BE26</f>
        <v>N/A</v>
      </c>
      <c r="CB9" s="110" t="str">
        <f ca="1">RESULTADOS!BF26</f>
        <v>N/A</v>
      </c>
      <c r="CC9" s="110" t="str">
        <f ca="1">RESULTADOS!BG26</f>
        <v>N/A</v>
      </c>
      <c r="CD9" s="110" t="str">
        <f ca="1">RESULTADOS!BH26</f>
        <v>N/A</v>
      </c>
      <c r="CE9" s="110" t="str">
        <f ca="1">RESULTADOS!BI26</f>
        <v>N/A</v>
      </c>
      <c r="CF9" s="110" t="str">
        <f ca="1">RESULTADOS!BJ26</f>
        <v>Pasa</v>
      </c>
      <c r="CG9" s="110" t="str">
        <f ca="1">RESULTADOS!BK26</f>
        <v>Pasa</v>
      </c>
      <c r="CH9" s="110" t="str">
        <f ca="1">RESULTADOS!BL26</f>
        <v>Pasa</v>
      </c>
      <c r="CI9" s="110" t="str">
        <f ca="1">RESULTADOS!BM26</f>
        <v>Pasa</v>
      </c>
      <c r="CJ9" s="110" t="str">
        <f ca="1">RESULTADOS!BN26</f>
        <v>Pasa</v>
      </c>
      <c r="CK9" s="110" t="str">
        <f ca="1">RESULTADOS!BO26</f>
        <v>Pasa</v>
      </c>
      <c r="CL9" s="110" t="str">
        <f ca="1">RESULTADOS!BP26</f>
        <v>N/A</v>
      </c>
      <c r="CM9" s="110" t="str">
        <f ca="1">RESULTADOS!BQ26</f>
        <v>N/A</v>
      </c>
      <c r="CN9" s="110" t="str">
        <f ca="1">RESULTADOS!BR26</f>
        <v>Pasa</v>
      </c>
      <c r="CO9" s="110" t="str">
        <f ca="1">RESULTADOS!BS26</f>
        <v>N/A</v>
      </c>
      <c r="CP9" s="110" t="str">
        <f ca="1">RESULTADOS!BT26</f>
        <v>Pasa</v>
      </c>
      <c r="CQ9" s="110" t="str">
        <f ca="1">RESULTADOS!BU26</f>
        <v>N/A</v>
      </c>
      <c r="CR9" s="110" t="str">
        <f ca="1">RESULTADOS!BV26</f>
        <v>Pasa</v>
      </c>
      <c r="CS9" s="110" t="str">
        <f ca="1">RESULTADOS!BW26</f>
        <v>Pasa</v>
      </c>
      <c r="CT9" s="110" t="str">
        <f ca="1">RESULTADOS!BX26</f>
        <v>Pasa</v>
      </c>
      <c r="CU9" s="110" t="str">
        <f ca="1">RESULTADOS!BY26</f>
        <v>Pasa</v>
      </c>
      <c r="CV9" s="110" t="str">
        <f ca="1">RESULTADOS!BZ26</f>
        <v>N/A</v>
      </c>
      <c r="CW9" s="110" t="str">
        <f ca="1">RESULTADOS!CA26</f>
        <v>Falla</v>
      </c>
      <c r="CX9" s="110" t="str">
        <f ca="1">RESULTADOS!CB26</f>
        <v>N/A</v>
      </c>
      <c r="CY9" s="110" t="str">
        <f ca="1">RESULTADOS!CC26</f>
        <v>N/A</v>
      </c>
      <c r="CZ9" s="110" t="str">
        <f ca="1">RESULTADOS!CD26</f>
        <v>Pasa</v>
      </c>
      <c r="DA9" s="110" t="str">
        <f ca="1">RESULTADOS!CE26</f>
        <v>Pasa</v>
      </c>
      <c r="DB9" s="110" t="str">
        <f ca="1">RESULTADOS!CF26</f>
        <v>N/A</v>
      </c>
      <c r="DC9" s="110" t="str">
        <f ca="1">RESULTADOS!CG26</f>
        <v>Falla</v>
      </c>
      <c r="DD9" s="110" t="str">
        <f ca="1">RESULTADOS!CH26</f>
        <v>N/A</v>
      </c>
      <c r="DE9" s="110" t="str">
        <f ca="1">RESULTADOS!CI26</f>
        <v>N/A</v>
      </c>
      <c r="DF9" s="110" t="str">
        <f ca="1">RESULTADOS!CJ26</f>
        <v>N/A</v>
      </c>
      <c r="DG9" s="110" t="str">
        <f ca="1">RESULTADOS!CK26</f>
        <v>N/A</v>
      </c>
      <c r="DH9" s="110" t="str">
        <f ca="1">RESULTADOS!CL26</f>
        <v>N/A</v>
      </c>
      <c r="DI9" s="110" t="str">
        <f ca="1">RESULTADOS!CM26</f>
        <v>N/A</v>
      </c>
      <c r="DJ9" s="110" t="str">
        <f ca="1">RESULTADOS!CN26</f>
        <v>Pasa</v>
      </c>
      <c r="DK9" s="110" t="str">
        <f ca="1">RESULTADOS!CO26</f>
        <v>Falla</v>
      </c>
      <c r="DL9" s="110" t="str">
        <f ca="1">RESULTADOS!CP26</f>
        <v>Falla</v>
      </c>
      <c r="DM9" s="110" t="str">
        <f ca="1">RESULTADOS!CQ26</f>
        <v>Pasa</v>
      </c>
      <c r="DN9" s="110" t="str">
        <f ca="1">RESULTADOS!CR26</f>
        <v>Falla</v>
      </c>
      <c r="DO9" s="112" t="str">
        <f>RESULTADOS!B67</f>
        <v/>
      </c>
      <c r="DP9" s="112" t="str">
        <f>RESULTADOS!C67</f>
        <v/>
      </c>
      <c r="DQ9" s="112" t="str">
        <f t="shared" si="1"/>
        <v/>
      </c>
      <c r="DR9" s="112" t="str" cm="1">
        <f t="array" ref="DR9">IFERROR(INDEX('03.Muestra'!$E$8:$E$42,SMALL(IF("Documento no web"='03.Muestra'!$D$8:$D$42,ROW('03.Muestra'!$E$8:$E$42)-MIN(ROW('03.Muestra'!$D$8:$D$42))+1,""),ROW()-2)),"")</f>
        <v/>
      </c>
      <c r="DS9" s="112" t="str">
        <f>RESULTADOS!D67</f>
        <v/>
      </c>
      <c r="DT9" s="112" t="str" cm="1">
        <f t="array" ref="DT9">IFERROR(INDEX('03.Muestra'!$G$8:$G$42,SMALL(IF("Documento no web"='03.Muestra'!$D$8:$D$42,ROW('03.Muestra'!$G$8:$G$42)-MIN(ROW('03.Muestra'!$D$8:$D$42))+1,""),ROW()-2)),"")</f>
        <v/>
      </c>
      <c r="DU9" s="187" t="str" cm="1">
        <f t="array" ref="DU9">IFERROR(INDEX('03.Muestra'!$H$8:$H$42,SMALL(IF("Documento no web"='03.Muestra'!$D$8:$D$42,ROW('03.Muestra'!$H$8:$H$42)-MIN(ROW('03.Muestra'!$D$8:$D$42))+1,""),ROW()-2)),"")</f>
        <v/>
      </c>
      <c r="DV9" s="110" t="str">
        <f ca="1">RESULTADOS!E67</f>
        <v/>
      </c>
      <c r="DW9" s="110" t="str">
        <f ca="1">RESULTADOS!F67</f>
        <v/>
      </c>
      <c r="DX9" s="110" t="str">
        <f ca="1">RESULTADOS!G67</f>
        <v/>
      </c>
      <c r="DY9" s="110" t="str">
        <f ca="1">RESULTADOS!H67</f>
        <v/>
      </c>
      <c r="DZ9" s="110" t="str">
        <f ca="1">RESULTADOS!I67</f>
        <v/>
      </c>
      <c r="EA9" s="110" t="str">
        <f ca="1">RESULTADOS!J67</f>
        <v/>
      </c>
      <c r="EB9" s="110" t="str">
        <f ca="1">RESULTADOS!K67</f>
        <v/>
      </c>
      <c r="EC9" s="110" t="str">
        <f ca="1">RESULTADOS!L67</f>
        <v/>
      </c>
      <c r="ED9" s="110" t="str">
        <f ca="1">RESULTADOS!M67</f>
        <v/>
      </c>
      <c r="EE9" s="110" t="str">
        <f ca="1">RESULTADOS!N67</f>
        <v/>
      </c>
      <c r="EF9" s="110" t="str">
        <f ca="1">RESULTADOS!O67</f>
        <v/>
      </c>
      <c r="EG9" s="110" t="str">
        <f ca="1">RESULTADOS!P67</f>
        <v/>
      </c>
      <c r="EH9" s="110" t="str">
        <f ca="1">RESULTADOS!Q67</f>
        <v/>
      </c>
      <c r="EI9" s="110" t="str">
        <f ca="1">RESULTADOS!R67</f>
        <v/>
      </c>
      <c r="EJ9" s="110" t="str">
        <f ca="1">RESULTADOS!S67</f>
        <v/>
      </c>
      <c r="EK9" s="110" t="str">
        <f ca="1">RESULTADOS!T67</f>
        <v/>
      </c>
      <c r="EL9" s="110" t="str">
        <f ca="1">RESULTADOS!U67</f>
        <v/>
      </c>
      <c r="EM9" s="110" t="str">
        <f ca="1">RESULTADOS!V67</f>
        <v/>
      </c>
      <c r="EN9" s="110" t="str">
        <f ca="1">RESULTADOS!W67</f>
        <v/>
      </c>
      <c r="EO9" s="110" t="str">
        <f ca="1">RESULTADOS!X67</f>
        <v/>
      </c>
      <c r="EP9" s="110" t="str">
        <f ca="1">RESULTADOS!Y67</f>
        <v/>
      </c>
      <c r="EQ9" s="110" t="str">
        <f ca="1">RESULTADOS!Z67</f>
        <v/>
      </c>
      <c r="ER9" s="110" t="str">
        <f ca="1">RESULTADOS!AA67</f>
        <v/>
      </c>
      <c r="ES9" s="110" t="str">
        <f ca="1">RESULTADOS!AB67</f>
        <v/>
      </c>
      <c r="ET9" s="110" t="str">
        <f ca="1">RESULTADOS!AC67</f>
        <v/>
      </c>
      <c r="EU9" s="110" t="str">
        <f ca="1">RESULTADOS!AD67</f>
        <v/>
      </c>
      <c r="EV9" s="110" t="str">
        <f ca="1">RESULTADOS!AE67</f>
        <v/>
      </c>
      <c r="EW9" s="110" t="str">
        <f ca="1">RESULTADOS!AF67</f>
        <v/>
      </c>
      <c r="EX9" s="110" t="str">
        <f ca="1">RESULTADOS!AG67</f>
        <v/>
      </c>
      <c r="EY9" s="110" t="str">
        <f ca="1">RESULTADOS!AH67</f>
        <v/>
      </c>
      <c r="EZ9" s="110" t="str">
        <f ca="1">RESULTADOS!AI67</f>
        <v/>
      </c>
      <c r="FA9" s="110" t="str">
        <f ca="1">RESULTADOS!AJ67</f>
        <v/>
      </c>
      <c r="FB9" s="110" t="str">
        <f ca="1">RESULTADOS!AK67</f>
        <v/>
      </c>
      <c r="FC9" s="110" t="str">
        <f ca="1">RESULTADOS!AL67</f>
        <v/>
      </c>
      <c r="FD9" s="110" t="str">
        <f ca="1">RESULTADOS!AM67</f>
        <v/>
      </c>
      <c r="FE9" s="110" t="str">
        <f ca="1">RESULTADOS!AN67</f>
        <v/>
      </c>
      <c r="FF9" s="110" t="str">
        <f ca="1">RESULTADOS!AO67</f>
        <v/>
      </c>
      <c r="FG9" s="110" t="str">
        <f ca="1">RESULTADOS!AP67</f>
        <v/>
      </c>
      <c r="FH9" s="110" t="str">
        <f ca="1">RESULTADOS!AQ67</f>
        <v/>
      </c>
      <c r="FI9" s="110" t="str">
        <f ca="1">RESULTADOS!AR67</f>
        <v/>
      </c>
      <c r="FJ9" s="110" t="str">
        <f ca="1">RESULTADOS!AS67</f>
        <v/>
      </c>
      <c r="FK9" s="110" t="str">
        <f ca="1">RESULTADOS!AT67</f>
        <v/>
      </c>
      <c r="FL9" s="110" t="str">
        <f ca="1">RESULTADOS!AU67</f>
        <v/>
      </c>
      <c r="FM9" s="110" t="str">
        <f ca="1">RESULTADOS!AV67</f>
        <v/>
      </c>
      <c r="FN9" s="110" t="str">
        <f ca="1">RESULTADOS!AW67</f>
        <v/>
      </c>
    </row>
    <row r="10" spans="1:170" ht="13">
      <c r="C10" s="108" t="s">
        <v>22</v>
      </c>
      <c r="D10" s="111" t="str">
        <f>'01.Definición de ámbito'!C27</f>
        <v>Portal de la transparencia</v>
      </c>
      <c r="E10" s="108" t="s">
        <v>63</v>
      </c>
      <c r="F10" s="111" t="str">
        <f>'02.Tecnologías'!F12</f>
        <v>No</v>
      </c>
      <c r="G10" s="111">
        <f>'02.Tecnologías'!K20</f>
        <v>0</v>
      </c>
      <c r="H10" s="111">
        <f>'02.Tecnologías'!L20</f>
        <v>0</v>
      </c>
      <c r="I10" s="161"/>
      <c r="J10" s="161"/>
      <c r="K10" s="108" t="s">
        <v>470</v>
      </c>
      <c r="L10" s="108"/>
      <c r="M10" s="108"/>
      <c r="T10" s="112">
        <f>RESULTADOS!B27</f>
        <v>8</v>
      </c>
      <c r="U10" s="112" t="str">
        <f>RESULTADOS!C27</f>
        <v>Consulta</v>
      </c>
      <c r="V10" s="112" t="str">
        <f t="shared" si="0"/>
        <v>Página web</v>
      </c>
      <c r="W10" s="112" t="str">
        <v>Pagina tipo</v>
      </c>
      <c r="X10" s="112" t="str">
        <f>RESULTADOS!D27</f>
        <v>https://www.comunidad.madrid/transparencia/normativa-planificacion/consulta-publica</v>
      </c>
      <c r="Y10" s="112" t="str">
        <v>Inicio - Normativa y planificación - Consulta Publica</v>
      </c>
      <c r="Z10" s="187">
        <v>0</v>
      </c>
      <c r="AA10" s="110" t="str">
        <f ca="1">RESULTADOS!E27</f>
        <v>N/A</v>
      </c>
      <c r="AB10" s="110" t="str">
        <f ca="1">RESULTADOS!F27</f>
        <v>N/A</v>
      </c>
      <c r="AC10" s="110" t="str">
        <f ca="1">RESULTADOS!G27</f>
        <v>N/A</v>
      </c>
      <c r="AD10" s="110" t="str">
        <f ca="1">RESULTADOS!H27</f>
        <v>N/A</v>
      </c>
      <c r="AE10" s="110" t="str">
        <f ca="1">RESULTADOS!I27</f>
        <v>N/A</v>
      </c>
      <c r="AF10" s="110" t="str">
        <f ca="1">RESULTADOS!J27</f>
        <v>N/A</v>
      </c>
      <c r="AG10" s="110" t="str">
        <f ca="1">RESULTADOS!K27</f>
        <v>N/A</v>
      </c>
      <c r="AH10" s="110" t="str">
        <f ca="1">RESULTADOS!L27</f>
        <v>N/A</v>
      </c>
      <c r="AI10" s="110" t="str">
        <f ca="1">RESULTADOS!M27</f>
        <v>N/A</v>
      </c>
      <c r="AJ10" s="110" t="str">
        <f ca="1">RESULTADOS!N27</f>
        <v>N/A</v>
      </c>
      <c r="AK10" s="110" t="str">
        <f ca="1">RESULTADOS!O27</f>
        <v>N/A</v>
      </c>
      <c r="AL10" s="110" t="str">
        <f ca="1">RESULTADOS!P27</f>
        <v>N/A</v>
      </c>
      <c r="AM10" s="110" t="str">
        <f ca="1">RESULTADOS!Q27</f>
        <v>N/A</v>
      </c>
      <c r="AN10" s="110" t="str">
        <f ca="1">RESULTADOS!R27</f>
        <v>N/A</v>
      </c>
      <c r="AO10" s="110" t="str">
        <f ca="1">RESULTADOS!S27</f>
        <v>N/A</v>
      </c>
      <c r="AP10" s="110" t="str">
        <f ca="1">RESULTADOS!T27</f>
        <v>N/A</v>
      </c>
      <c r="AQ10" s="110" t="str">
        <f ca="1">RESULTADOS!U27</f>
        <v>N/A</v>
      </c>
      <c r="AR10" s="110" t="str">
        <f ca="1">RESULTADOS!V27</f>
        <v>N/A</v>
      </c>
      <c r="AS10" s="110" t="str">
        <f ca="1">RESULTADOS!W27</f>
        <v>N/A</v>
      </c>
      <c r="AT10" s="110" t="str">
        <f ca="1">RESULTADOS!X27</f>
        <v>N/A</v>
      </c>
      <c r="AU10" s="110" t="str">
        <f ca="1">RESULTADOS!Y27</f>
        <v>N/A</v>
      </c>
      <c r="AV10" s="110" t="str">
        <f ca="1">RESULTADOS!Z27</f>
        <v>N/A</v>
      </c>
      <c r="AW10" s="110" t="str">
        <f ca="1">RESULTADOS!AA27</f>
        <v>N/A</v>
      </c>
      <c r="AX10" s="110" t="str">
        <f ca="1">RESULTADOS!AB27</f>
        <v>N/A</v>
      </c>
      <c r="AY10" s="110" t="str">
        <f ca="1">RESULTADOS!AC27</f>
        <v>N/A</v>
      </c>
      <c r="AZ10" s="110" t="str">
        <f ca="1">RESULTADOS!AD27</f>
        <v>N/A</v>
      </c>
      <c r="BA10" s="110" t="str">
        <f ca="1">RESULTADOS!AE27</f>
        <v>N/A</v>
      </c>
      <c r="BB10" s="110" t="str">
        <f ca="1">RESULTADOS!AF27</f>
        <v>N/A</v>
      </c>
      <c r="BC10" s="110" t="str">
        <f ca="1">RESULTADOS!AG27</f>
        <v>N/A</v>
      </c>
      <c r="BD10" s="110" t="str">
        <f ca="1">RESULTADOS!AH27</f>
        <v>N/A</v>
      </c>
      <c r="BE10" s="110" t="str">
        <f ca="1">RESULTADOS!AI27</f>
        <v>N/A</v>
      </c>
      <c r="BF10" s="110" t="str">
        <f ca="1">RESULTADOS!AJ27</f>
        <v>Pasa</v>
      </c>
      <c r="BG10" s="110" t="str">
        <f ca="1">RESULTADOS!AK27</f>
        <v>N/A</v>
      </c>
      <c r="BH10" s="110" t="str">
        <f ca="1">RESULTADOS!AL27</f>
        <v>N/A</v>
      </c>
      <c r="BI10" s="110" t="str">
        <f ca="1">RESULTADOS!AM27</f>
        <v>N/A</v>
      </c>
      <c r="BJ10" s="110" t="str">
        <f ca="1">RESULTADOS!AN27</f>
        <v>N/A</v>
      </c>
      <c r="BK10" s="110" t="str">
        <f ca="1">RESULTADOS!AO27</f>
        <v>Pasa</v>
      </c>
      <c r="BL10" s="110" t="str">
        <f ca="1">RESULTADOS!AP27</f>
        <v>Falla</v>
      </c>
      <c r="BM10" s="110" t="str">
        <f ca="1">RESULTADOS!AQ27</f>
        <v>Falla</v>
      </c>
      <c r="BN10" s="110" t="str">
        <f ca="1">RESULTADOS!AR27</f>
        <v>Pasa</v>
      </c>
      <c r="BO10" s="110" t="str">
        <f ca="1">RESULTADOS!AS27</f>
        <v>N/A</v>
      </c>
      <c r="BP10" s="110" t="str">
        <f ca="1">RESULTADOS!AT27</f>
        <v>N/A</v>
      </c>
      <c r="BQ10" s="110" t="str">
        <f ca="1">RESULTADOS!AU27</f>
        <v>N/A</v>
      </c>
      <c r="BR10" s="110" t="str">
        <f ca="1">RESULTADOS!AV27</f>
        <v>Pasa</v>
      </c>
      <c r="BS10" s="110" t="str">
        <f ca="1">RESULTADOS!AW27</f>
        <v>Falla</v>
      </c>
      <c r="BT10" s="110" t="str">
        <f ca="1">RESULTADOS!AX27</f>
        <v>N/A</v>
      </c>
      <c r="BU10" s="110" t="str">
        <f ca="1">RESULTADOS!AY27</f>
        <v>Falla</v>
      </c>
      <c r="BV10" s="110" t="str">
        <f ca="1">RESULTADOS!AZ27</f>
        <v>Falla</v>
      </c>
      <c r="BW10" s="110" t="str">
        <f ca="1">RESULTADOS!BA27</f>
        <v>Pasa</v>
      </c>
      <c r="BX10" s="110" t="str">
        <f ca="1">RESULTADOS!BB27</f>
        <v>Falla</v>
      </c>
      <c r="BY10" s="110" t="str">
        <f ca="1">RESULTADOS!BC27</f>
        <v>Pasa</v>
      </c>
      <c r="BZ10" s="110" t="str">
        <f ca="1">RESULTADOS!BD27</f>
        <v>Pasa</v>
      </c>
      <c r="CA10" s="110" t="str">
        <f ca="1">RESULTADOS!BE27</f>
        <v>N/A</v>
      </c>
      <c r="CB10" s="110" t="str">
        <f ca="1">RESULTADOS!BF27</f>
        <v>N/A</v>
      </c>
      <c r="CC10" s="110" t="str">
        <f ca="1">RESULTADOS!BG27</f>
        <v>N/A</v>
      </c>
      <c r="CD10" s="110" t="str">
        <f ca="1">RESULTADOS!BH27</f>
        <v>N/A</v>
      </c>
      <c r="CE10" s="110" t="str">
        <f ca="1">RESULTADOS!BI27</f>
        <v>N/A</v>
      </c>
      <c r="CF10" s="110" t="str">
        <f ca="1">RESULTADOS!BJ27</f>
        <v>Pasa</v>
      </c>
      <c r="CG10" s="110" t="str">
        <f ca="1">RESULTADOS!BK27</f>
        <v>Pasa</v>
      </c>
      <c r="CH10" s="110" t="str">
        <f ca="1">RESULTADOS!BL27</f>
        <v>Pasa</v>
      </c>
      <c r="CI10" s="110" t="str">
        <f ca="1">RESULTADOS!BM27</f>
        <v>Pasa</v>
      </c>
      <c r="CJ10" s="110" t="str">
        <f ca="1">RESULTADOS!BN27</f>
        <v>Pasa</v>
      </c>
      <c r="CK10" s="110" t="str">
        <f ca="1">RESULTADOS!BO27</f>
        <v>Pasa</v>
      </c>
      <c r="CL10" s="110" t="str">
        <f ca="1">RESULTADOS!BP27</f>
        <v>N/A</v>
      </c>
      <c r="CM10" s="110" t="str">
        <f ca="1">RESULTADOS!BQ27</f>
        <v>N/A</v>
      </c>
      <c r="CN10" s="110" t="str">
        <f ca="1">RESULTADOS!BR27</f>
        <v>Pasa</v>
      </c>
      <c r="CO10" s="110" t="str">
        <f ca="1">RESULTADOS!BS27</f>
        <v>N/A</v>
      </c>
      <c r="CP10" s="110" t="str">
        <f ca="1">RESULTADOS!BT27</f>
        <v>Pasa</v>
      </c>
      <c r="CQ10" s="110" t="str">
        <f ca="1">RESULTADOS!BU27</f>
        <v>N/A</v>
      </c>
      <c r="CR10" s="110" t="str">
        <f ca="1">RESULTADOS!BV27</f>
        <v>Pasa</v>
      </c>
      <c r="CS10" s="110" t="str">
        <f ca="1">RESULTADOS!BW27</f>
        <v>Pasa</v>
      </c>
      <c r="CT10" s="110" t="str">
        <f ca="1">RESULTADOS!BX27</f>
        <v>Pasa</v>
      </c>
      <c r="CU10" s="110" t="str">
        <f ca="1">RESULTADOS!BY27</f>
        <v>Pasa</v>
      </c>
      <c r="CV10" s="110" t="str">
        <f ca="1">RESULTADOS!BZ27</f>
        <v>N/A</v>
      </c>
      <c r="CW10" s="110" t="str">
        <f ca="1">RESULTADOS!CA27</f>
        <v>Falla</v>
      </c>
      <c r="CX10" s="110" t="str">
        <f ca="1">RESULTADOS!CB27</f>
        <v>N/A</v>
      </c>
      <c r="CY10" s="110" t="str">
        <f ca="1">RESULTADOS!CC27</f>
        <v>N/A</v>
      </c>
      <c r="CZ10" s="110" t="str">
        <f ca="1">RESULTADOS!CD27</f>
        <v>Pasa</v>
      </c>
      <c r="DA10" s="110" t="str">
        <f ca="1">RESULTADOS!CE27</f>
        <v>Falla</v>
      </c>
      <c r="DB10" s="110" t="str">
        <f ca="1">RESULTADOS!CF27</f>
        <v>N/A</v>
      </c>
      <c r="DC10" s="110" t="str">
        <f ca="1">RESULTADOS!CG27</f>
        <v>Falla</v>
      </c>
      <c r="DD10" s="110" t="str">
        <f ca="1">RESULTADOS!CH27</f>
        <v>N/A</v>
      </c>
      <c r="DE10" s="110" t="str">
        <f ca="1">RESULTADOS!CI27</f>
        <v>N/A</v>
      </c>
      <c r="DF10" s="110" t="str">
        <f ca="1">RESULTADOS!CJ27</f>
        <v>N/A</v>
      </c>
      <c r="DG10" s="110" t="str">
        <f ca="1">RESULTADOS!CK27</f>
        <v>N/A</v>
      </c>
      <c r="DH10" s="110" t="str">
        <f ca="1">RESULTADOS!CL27</f>
        <v>N/A</v>
      </c>
      <c r="DI10" s="110" t="str">
        <f ca="1">RESULTADOS!CM27</f>
        <v>N/A</v>
      </c>
      <c r="DJ10" s="110" t="str">
        <f ca="1">RESULTADOS!CN27</f>
        <v>Pasa</v>
      </c>
      <c r="DK10" s="110" t="str">
        <f ca="1">RESULTADOS!CO27</f>
        <v>Falla</v>
      </c>
      <c r="DL10" s="110" t="str">
        <f ca="1">RESULTADOS!CP27</f>
        <v>Falla</v>
      </c>
      <c r="DM10" s="110" t="str">
        <f ca="1">RESULTADOS!CQ27</f>
        <v>Pasa</v>
      </c>
      <c r="DN10" s="110" t="str">
        <f ca="1">RESULTADOS!CR27</f>
        <v>Falla</v>
      </c>
      <c r="DO10" s="112" t="str">
        <f>RESULTADOS!B68</f>
        <v/>
      </c>
      <c r="DP10" s="112" t="str">
        <f>RESULTADOS!C68</f>
        <v/>
      </c>
      <c r="DQ10" s="112" t="str">
        <f t="shared" si="1"/>
        <v/>
      </c>
      <c r="DR10" s="112" t="str" cm="1">
        <f t="array" ref="DR10">IFERROR(INDEX('03.Muestra'!$E$8:$E$42,SMALL(IF("Documento no web"='03.Muestra'!$D$8:$D$42,ROW('03.Muestra'!$E$8:$E$42)-MIN(ROW('03.Muestra'!$D$8:$D$42))+1,""),ROW()-2)),"")</f>
        <v/>
      </c>
      <c r="DS10" s="112" t="str">
        <f>RESULTADOS!D68</f>
        <v/>
      </c>
      <c r="DT10" s="112" t="str" cm="1">
        <f t="array" ref="DT10">IFERROR(INDEX('03.Muestra'!$G$8:$G$42,SMALL(IF("Documento no web"='03.Muestra'!$D$8:$D$42,ROW('03.Muestra'!$G$8:$G$42)-MIN(ROW('03.Muestra'!$D$8:$D$42))+1,""),ROW()-2)),"")</f>
        <v/>
      </c>
      <c r="DU10" s="187" t="str" cm="1">
        <f t="array" ref="DU10">IFERROR(INDEX('03.Muestra'!$H$8:$H$42,SMALL(IF("Documento no web"='03.Muestra'!$D$8:$D$42,ROW('03.Muestra'!$H$8:$H$42)-MIN(ROW('03.Muestra'!$D$8:$D$42))+1,""),ROW()-2)),"")</f>
        <v/>
      </c>
      <c r="DV10" s="110" t="str">
        <f ca="1">RESULTADOS!E68</f>
        <v/>
      </c>
      <c r="DW10" s="110" t="str">
        <f ca="1">RESULTADOS!F68</f>
        <v/>
      </c>
      <c r="DX10" s="110" t="str">
        <f ca="1">RESULTADOS!G68</f>
        <v/>
      </c>
      <c r="DY10" s="110" t="str">
        <f ca="1">RESULTADOS!H68</f>
        <v/>
      </c>
      <c r="DZ10" s="110" t="str">
        <f ca="1">RESULTADOS!I68</f>
        <v/>
      </c>
      <c r="EA10" s="110" t="str">
        <f ca="1">RESULTADOS!J68</f>
        <v/>
      </c>
      <c r="EB10" s="110" t="str">
        <f ca="1">RESULTADOS!K68</f>
        <v/>
      </c>
      <c r="EC10" s="110" t="str">
        <f ca="1">RESULTADOS!L68</f>
        <v/>
      </c>
      <c r="ED10" s="110" t="str">
        <f ca="1">RESULTADOS!M68</f>
        <v/>
      </c>
      <c r="EE10" s="110" t="str">
        <f ca="1">RESULTADOS!N68</f>
        <v/>
      </c>
      <c r="EF10" s="110" t="str">
        <f ca="1">RESULTADOS!O68</f>
        <v/>
      </c>
      <c r="EG10" s="110" t="str">
        <f ca="1">RESULTADOS!P68</f>
        <v/>
      </c>
      <c r="EH10" s="110" t="str">
        <f ca="1">RESULTADOS!Q68</f>
        <v/>
      </c>
      <c r="EI10" s="110" t="str">
        <f ca="1">RESULTADOS!R68</f>
        <v/>
      </c>
      <c r="EJ10" s="110" t="str">
        <f ca="1">RESULTADOS!S68</f>
        <v/>
      </c>
      <c r="EK10" s="110" t="str">
        <f ca="1">RESULTADOS!T68</f>
        <v/>
      </c>
      <c r="EL10" s="110" t="str">
        <f ca="1">RESULTADOS!U68</f>
        <v/>
      </c>
      <c r="EM10" s="110" t="str">
        <f ca="1">RESULTADOS!V68</f>
        <v/>
      </c>
      <c r="EN10" s="110" t="str">
        <f ca="1">RESULTADOS!W68</f>
        <v/>
      </c>
      <c r="EO10" s="110" t="str">
        <f ca="1">RESULTADOS!X68</f>
        <v/>
      </c>
      <c r="EP10" s="110" t="str">
        <f ca="1">RESULTADOS!Y68</f>
        <v/>
      </c>
      <c r="EQ10" s="110" t="str">
        <f ca="1">RESULTADOS!Z68</f>
        <v/>
      </c>
      <c r="ER10" s="110" t="str">
        <f ca="1">RESULTADOS!AA68</f>
        <v/>
      </c>
      <c r="ES10" s="110" t="str">
        <f ca="1">RESULTADOS!AB68</f>
        <v/>
      </c>
      <c r="ET10" s="110" t="str">
        <f ca="1">RESULTADOS!AC68</f>
        <v/>
      </c>
      <c r="EU10" s="110" t="str">
        <f ca="1">RESULTADOS!AD68</f>
        <v/>
      </c>
      <c r="EV10" s="110" t="str">
        <f ca="1">RESULTADOS!AE68</f>
        <v/>
      </c>
      <c r="EW10" s="110" t="str">
        <f ca="1">RESULTADOS!AF68</f>
        <v/>
      </c>
      <c r="EX10" s="110" t="str">
        <f ca="1">RESULTADOS!AG68</f>
        <v/>
      </c>
      <c r="EY10" s="110" t="str">
        <f ca="1">RESULTADOS!AH68</f>
        <v/>
      </c>
      <c r="EZ10" s="110" t="str">
        <f ca="1">RESULTADOS!AI68</f>
        <v/>
      </c>
      <c r="FA10" s="110" t="str">
        <f ca="1">RESULTADOS!AJ68</f>
        <v/>
      </c>
      <c r="FB10" s="110" t="str">
        <f ca="1">RESULTADOS!AK68</f>
        <v/>
      </c>
      <c r="FC10" s="110" t="str">
        <f ca="1">RESULTADOS!AL68</f>
        <v/>
      </c>
      <c r="FD10" s="110" t="str">
        <f ca="1">RESULTADOS!AM68</f>
        <v/>
      </c>
      <c r="FE10" s="110" t="str">
        <f ca="1">RESULTADOS!AN68</f>
        <v/>
      </c>
      <c r="FF10" s="110" t="str">
        <f ca="1">RESULTADOS!AO68</f>
        <v/>
      </c>
      <c r="FG10" s="110" t="str">
        <f ca="1">RESULTADOS!AP68</f>
        <v/>
      </c>
      <c r="FH10" s="110" t="str">
        <f ca="1">RESULTADOS!AQ68</f>
        <v/>
      </c>
      <c r="FI10" s="110" t="str">
        <f ca="1">RESULTADOS!AR68</f>
        <v/>
      </c>
      <c r="FJ10" s="110" t="str">
        <f ca="1">RESULTADOS!AS68</f>
        <v/>
      </c>
      <c r="FK10" s="110" t="str">
        <f ca="1">RESULTADOS!AT68</f>
        <v/>
      </c>
      <c r="FL10" s="110" t="str">
        <f ca="1">RESULTADOS!AU68</f>
        <v/>
      </c>
      <c r="FM10" s="110" t="str">
        <f ca="1">RESULTADOS!AV68</f>
        <v/>
      </c>
      <c r="FN10" s="110" t="str">
        <f ca="1">RESULTADOS!AW68</f>
        <v/>
      </c>
    </row>
    <row r="11" spans="1:170" ht="13">
      <c r="C11" s="108" t="s">
        <v>23</v>
      </c>
      <c r="D11" s="111" t="str">
        <f>'01.Definición de ámbito'!C29</f>
        <v>https://www.comunidad.madrid/transparencia</v>
      </c>
      <c r="E11" s="108" t="s">
        <v>68</v>
      </c>
      <c r="F11" s="111" t="str">
        <f>'02.Tecnologías'!F13</f>
        <v>No</v>
      </c>
      <c r="G11" s="111">
        <f>'02.Tecnologías'!K21</f>
        <v>0</v>
      </c>
      <c r="H11" s="111">
        <f>'02.Tecnologías'!L21</f>
        <v>0</v>
      </c>
      <c r="I11" s="161"/>
      <c r="J11" s="161"/>
      <c r="K11" s="108" t="s">
        <v>251</v>
      </c>
      <c r="L11" s="108"/>
      <c r="M11" s="108"/>
      <c r="N11" s="108"/>
      <c r="O11" s="108"/>
      <c r="P11" s="108"/>
      <c r="T11" s="112">
        <f>RESULTADOS!B28</f>
        <v>9</v>
      </c>
      <c r="U11" s="112" t="str">
        <f>RESULTADOS!C28</f>
        <v>Proyecto</v>
      </c>
      <c r="V11" s="112" t="str">
        <f t="shared" si="0"/>
        <v>Página web</v>
      </c>
      <c r="W11" s="112" t="str">
        <v>Aleatoria</v>
      </c>
      <c r="X11" s="112" t="str">
        <f>RESULTADOS!D28</f>
        <v>https://www.comunidad.madrid/transparencia/proyecto-orden-que-se-crea-comision-farmacia-y-productos-sanitarios-cm-y-se-establece-su-composicion</v>
      </c>
      <c r="Y11" s="112" t="str">
        <v>Inicio - Normativa y planificación - Consulta Publica - Proyecto</v>
      </c>
      <c r="Z11" s="187">
        <v>0</v>
      </c>
      <c r="AA11" s="110" t="str">
        <f ca="1">RESULTADOS!E28</f>
        <v>N/A</v>
      </c>
      <c r="AB11" s="110" t="str">
        <f ca="1">RESULTADOS!F28</f>
        <v>N/A</v>
      </c>
      <c r="AC11" s="110" t="str">
        <f ca="1">RESULTADOS!G28</f>
        <v>N/A</v>
      </c>
      <c r="AD11" s="110" t="str">
        <f ca="1">RESULTADOS!H28</f>
        <v>N/A</v>
      </c>
      <c r="AE11" s="110" t="str">
        <f ca="1">RESULTADOS!I28</f>
        <v>N/A</v>
      </c>
      <c r="AF11" s="110" t="str">
        <f ca="1">RESULTADOS!J28</f>
        <v>N/A</v>
      </c>
      <c r="AG11" s="110" t="str">
        <f ca="1">RESULTADOS!K28</f>
        <v>N/A</v>
      </c>
      <c r="AH11" s="110" t="str">
        <f ca="1">RESULTADOS!L28</f>
        <v>N/A</v>
      </c>
      <c r="AI11" s="110" t="str">
        <f ca="1">RESULTADOS!M28</f>
        <v>N/A</v>
      </c>
      <c r="AJ11" s="110" t="str">
        <f ca="1">RESULTADOS!N28</f>
        <v>N/A</v>
      </c>
      <c r="AK11" s="110" t="str">
        <f ca="1">RESULTADOS!O28</f>
        <v>N/A</v>
      </c>
      <c r="AL11" s="110" t="str">
        <f ca="1">RESULTADOS!P28</f>
        <v>N/A</v>
      </c>
      <c r="AM11" s="110" t="str">
        <f ca="1">RESULTADOS!Q28</f>
        <v>N/A</v>
      </c>
      <c r="AN11" s="110" t="str">
        <f ca="1">RESULTADOS!R28</f>
        <v>N/A</v>
      </c>
      <c r="AO11" s="110" t="str">
        <f ca="1">RESULTADOS!S28</f>
        <v>N/A</v>
      </c>
      <c r="AP11" s="110" t="str">
        <f ca="1">RESULTADOS!T28</f>
        <v>N/A</v>
      </c>
      <c r="AQ11" s="110" t="str">
        <f ca="1">RESULTADOS!U28</f>
        <v>N/A</v>
      </c>
      <c r="AR11" s="110" t="str">
        <f ca="1">RESULTADOS!V28</f>
        <v>N/A</v>
      </c>
      <c r="AS11" s="110" t="str">
        <f ca="1">RESULTADOS!W28</f>
        <v>N/A</v>
      </c>
      <c r="AT11" s="110" t="str">
        <f ca="1">RESULTADOS!X28</f>
        <v>N/A</v>
      </c>
      <c r="AU11" s="110" t="str">
        <f ca="1">RESULTADOS!Y28</f>
        <v>N/A</v>
      </c>
      <c r="AV11" s="110" t="str">
        <f ca="1">RESULTADOS!Z28</f>
        <v>N/A</v>
      </c>
      <c r="AW11" s="110" t="str">
        <f ca="1">RESULTADOS!AA28</f>
        <v>N/A</v>
      </c>
      <c r="AX11" s="110" t="str">
        <f ca="1">RESULTADOS!AB28</f>
        <v>N/A</v>
      </c>
      <c r="AY11" s="110" t="str">
        <f ca="1">RESULTADOS!AC28</f>
        <v>N/A</v>
      </c>
      <c r="AZ11" s="110" t="str">
        <f ca="1">RESULTADOS!AD28</f>
        <v>N/A</v>
      </c>
      <c r="BA11" s="110" t="str">
        <f ca="1">RESULTADOS!AE28</f>
        <v>N/A</v>
      </c>
      <c r="BB11" s="110" t="str">
        <f ca="1">RESULTADOS!AF28</f>
        <v>N/A</v>
      </c>
      <c r="BC11" s="110" t="str">
        <f ca="1">RESULTADOS!AG28</f>
        <v>N/A</v>
      </c>
      <c r="BD11" s="110" t="str">
        <f ca="1">RESULTADOS!AH28</f>
        <v>N/A</v>
      </c>
      <c r="BE11" s="110" t="str">
        <f ca="1">RESULTADOS!AI28</f>
        <v>N/A</v>
      </c>
      <c r="BF11" s="110" t="str">
        <f ca="1">RESULTADOS!AJ28</f>
        <v>Pasa</v>
      </c>
      <c r="BG11" s="110" t="str">
        <f ca="1">RESULTADOS!AK28</f>
        <v>N/A</v>
      </c>
      <c r="BH11" s="110" t="str">
        <f ca="1">RESULTADOS!AL28</f>
        <v>N/A</v>
      </c>
      <c r="BI11" s="110" t="str">
        <f ca="1">RESULTADOS!AM28</f>
        <v>N/A</v>
      </c>
      <c r="BJ11" s="110" t="str">
        <f ca="1">RESULTADOS!AN28</f>
        <v>N/A</v>
      </c>
      <c r="BK11" s="110" t="str">
        <f ca="1">RESULTADOS!AO28</f>
        <v>Pasa</v>
      </c>
      <c r="BL11" s="110" t="str">
        <f ca="1">RESULTADOS!AP28</f>
        <v>Falla</v>
      </c>
      <c r="BM11" s="110" t="str">
        <f ca="1">RESULTADOS!AQ28</f>
        <v>Falla</v>
      </c>
      <c r="BN11" s="110" t="str">
        <f ca="1">RESULTADOS!AR28</f>
        <v>Pasa</v>
      </c>
      <c r="BO11" s="110" t="str">
        <f ca="1">RESULTADOS!AS28</f>
        <v>N/A</v>
      </c>
      <c r="BP11" s="110" t="str">
        <f ca="1">RESULTADOS!AT28</f>
        <v>N/A</v>
      </c>
      <c r="BQ11" s="110" t="str">
        <f ca="1">RESULTADOS!AU28</f>
        <v>N/A</v>
      </c>
      <c r="BR11" s="110" t="str">
        <f ca="1">RESULTADOS!AV28</f>
        <v>Pasa</v>
      </c>
      <c r="BS11" s="110" t="str">
        <f ca="1">RESULTADOS!AW28</f>
        <v>Falla</v>
      </c>
      <c r="BT11" s="110" t="str">
        <f ca="1">RESULTADOS!AX28</f>
        <v>N/A</v>
      </c>
      <c r="BU11" s="110" t="str">
        <f ca="1">RESULTADOS!AY28</f>
        <v>Falla</v>
      </c>
      <c r="BV11" s="110" t="str">
        <f ca="1">RESULTADOS!AZ28</f>
        <v>Falla</v>
      </c>
      <c r="BW11" s="110" t="str">
        <f ca="1">RESULTADOS!BA28</f>
        <v>Pasa</v>
      </c>
      <c r="BX11" s="110" t="str">
        <f ca="1">RESULTADOS!BB28</f>
        <v>Falla</v>
      </c>
      <c r="BY11" s="110" t="str">
        <f ca="1">RESULTADOS!BC28</f>
        <v>Pasa</v>
      </c>
      <c r="BZ11" s="110" t="str">
        <f ca="1">RESULTADOS!BD28</f>
        <v>Pasa</v>
      </c>
      <c r="CA11" s="110" t="str">
        <f ca="1">RESULTADOS!BE28</f>
        <v>N/A</v>
      </c>
      <c r="CB11" s="110" t="str">
        <f ca="1">RESULTADOS!BF28</f>
        <v>N/A</v>
      </c>
      <c r="CC11" s="110" t="str">
        <f ca="1">RESULTADOS!BG28</f>
        <v>N/A</v>
      </c>
      <c r="CD11" s="110" t="str">
        <f ca="1">RESULTADOS!BH28</f>
        <v>N/A</v>
      </c>
      <c r="CE11" s="110" t="str">
        <f ca="1">RESULTADOS!BI28</f>
        <v>N/A</v>
      </c>
      <c r="CF11" s="110" t="str">
        <f ca="1">RESULTADOS!BJ28</f>
        <v>Pasa</v>
      </c>
      <c r="CG11" s="110" t="str">
        <f ca="1">RESULTADOS!BK28</f>
        <v>Pasa</v>
      </c>
      <c r="CH11" s="110" t="str">
        <f ca="1">RESULTADOS!BL28</f>
        <v>Pasa</v>
      </c>
      <c r="CI11" s="110" t="str">
        <f ca="1">RESULTADOS!BM28</f>
        <v>Pasa</v>
      </c>
      <c r="CJ11" s="110" t="str">
        <f ca="1">RESULTADOS!BN28</f>
        <v>Pasa</v>
      </c>
      <c r="CK11" s="110" t="str">
        <f ca="1">RESULTADOS!BO28</f>
        <v>Pasa</v>
      </c>
      <c r="CL11" s="110" t="str">
        <f ca="1">RESULTADOS!BP28</f>
        <v>N/A</v>
      </c>
      <c r="CM11" s="110" t="str">
        <f ca="1">RESULTADOS!BQ28</f>
        <v>N/A</v>
      </c>
      <c r="CN11" s="110" t="str">
        <f ca="1">RESULTADOS!BR28</f>
        <v>Pasa</v>
      </c>
      <c r="CO11" s="110" t="str">
        <f ca="1">RESULTADOS!BS28</f>
        <v>N/A</v>
      </c>
      <c r="CP11" s="110" t="str">
        <f ca="1">RESULTADOS!BT28</f>
        <v>Pasa</v>
      </c>
      <c r="CQ11" s="110" t="str">
        <f ca="1">RESULTADOS!BU28</f>
        <v>N/A</v>
      </c>
      <c r="CR11" s="110" t="str">
        <f ca="1">RESULTADOS!BV28</f>
        <v>Pasa</v>
      </c>
      <c r="CS11" s="110" t="str">
        <f ca="1">RESULTADOS!BW28</f>
        <v>Pasa</v>
      </c>
      <c r="CT11" s="110" t="str">
        <f ca="1">RESULTADOS!BX28</f>
        <v>Pasa</v>
      </c>
      <c r="CU11" s="110" t="str">
        <f ca="1">RESULTADOS!BY28</f>
        <v>Pasa</v>
      </c>
      <c r="CV11" s="110" t="str">
        <f ca="1">RESULTADOS!BZ28</f>
        <v>N/A</v>
      </c>
      <c r="CW11" s="110" t="str">
        <f ca="1">RESULTADOS!CA28</f>
        <v>Pasa</v>
      </c>
      <c r="CX11" s="110" t="str">
        <f ca="1">RESULTADOS!CB28</f>
        <v>N/A</v>
      </c>
      <c r="CY11" s="110" t="str">
        <f ca="1">RESULTADOS!CC28</f>
        <v>N/A</v>
      </c>
      <c r="CZ11" s="110" t="str">
        <f ca="1">RESULTADOS!CD28</f>
        <v>Pasa</v>
      </c>
      <c r="DA11" s="110" t="str">
        <f ca="1">RESULTADOS!CE28</f>
        <v>Pasa</v>
      </c>
      <c r="DB11" s="110" t="str">
        <f ca="1">RESULTADOS!CF28</f>
        <v>N/A</v>
      </c>
      <c r="DC11" s="110" t="str">
        <f ca="1">RESULTADOS!CG28</f>
        <v>Falla</v>
      </c>
      <c r="DD11" s="110" t="str">
        <f ca="1">RESULTADOS!CH28</f>
        <v>N/A</v>
      </c>
      <c r="DE11" s="110" t="str">
        <f ca="1">RESULTADOS!CI28</f>
        <v>N/A</v>
      </c>
      <c r="DF11" s="110" t="str">
        <f ca="1">RESULTADOS!CJ28</f>
        <v>N/A</v>
      </c>
      <c r="DG11" s="110" t="str">
        <f ca="1">RESULTADOS!CK28</f>
        <v>N/A</v>
      </c>
      <c r="DH11" s="110" t="str">
        <f ca="1">RESULTADOS!CL28</f>
        <v>N/A</v>
      </c>
      <c r="DI11" s="110" t="str">
        <f ca="1">RESULTADOS!CM28</f>
        <v>N/A</v>
      </c>
      <c r="DJ11" s="110" t="str">
        <f ca="1">RESULTADOS!CN28</f>
        <v>Pasa</v>
      </c>
      <c r="DK11" s="110" t="str">
        <f ca="1">RESULTADOS!CO28</f>
        <v>Falla</v>
      </c>
      <c r="DL11" s="110" t="str">
        <f ca="1">RESULTADOS!CP28</f>
        <v>Falla</v>
      </c>
      <c r="DM11" s="110" t="str">
        <f ca="1">RESULTADOS!CQ28</f>
        <v>Pasa</v>
      </c>
      <c r="DN11" s="110" t="str">
        <f ca="1">RESULTADOS!CR28</f>
        <v>Falla</v>
      </c>
      <c r="DO11" s="112" t="str">
        <f>RESULTADOS!B69</f>
        <v/>
      </c>
      <c r="DP11" s="112" t="str">
        <f>RESULTADOS!C69</f>
        <v/>
      </c>
      <c r="DQ11" s="112" t="str">
        <f t="shared" si="1"/>
        <v/>
      </c>
      <c r="DR11" s="112" t="str" cm="1">
        <f t="array" ref="DR11">IFERROR(INDEX('03.Muestra'!$E$8:$E$42,SMALL(IF("Documento no web"='03.Muestra'!$D$8:$D$42,ROW('03.Muestra'!$E$8:$E$42)-MIN(ROW('03.Muestra'!$D$8:$D$42))+1,""),ROW()-2)),"")</f>
        <v/>
      </c>
      <c r="DS11" s="112" t="str">
        <f>RESULTADOS!D69</f>
        <v/>
      </c>
      <c r="DT11" s="112" t="str" cm="1">
        <f t="array" ref="DT11">IFERROR(INDEX('03.Muestra'!$G$8:$G$42,SMALL(IF("Documento no web"='03.Muestra'!$D$8:$D$42,ROW('03.Muestra'!$G$8:$G$42)-MIN(ROW('03.Muestra'!$D$8:$D$42))+1,""),ROW()-2)),"")</f>
        <v/>
      </c>
      <c r="DU11" s="187" t="str" cm="1">
        <f t="array" ref="DU11">IFERROR(INDEX('03.Muestra'!$H$8:$H$42,SMALL(IF("Documento no web"='03.Muestra'!$D$8:$D$42,ROW('03.Muestra'!$H$8:$H$42)-MIN(ROW('03.Muestra'!$D$8:$D$42))+1,""),ROW()-2)),"")</f>
        <v/>
      </c>
      <c r="DV11" s="110" t="str">
        <f ca="1">RESULTADOS!E69</f>
        <v/>
      </c>
      <c r="DW11" s="110" t="str">
        <f ca="1">RESULTADOS!F69</f>
        <v/>
      </c>
      <c r="DX11" s="110" t="str">
        <f ca="1">RESULTADOS!G69</f>
        <v/>
      </c>
      <c r="DY11" s="110" t="str">
        <f ca="1">RESULTADOS!H69</f>
        <v/>
      </c>
      <c r="DZ11" s="110" t="str">
        <f ca="1">RESULTADOS!I69</f>
        <v/>
      </c>
      <c r="EA11" s="110" t="str">
        <f ca="1">RESULTADOS!J69</f>
        <v/>
      </c>
      <c r="EB11" s="110" t="str">
        <f ca="1">RESULTADOS!K69</f>
        <v/>
      </c>
      <c r="EC11" s="110" t="str">
        <f ca="1">RESULTADOS!L69</f>
        <v/>
      </c>
      <c r="ED11" s="110" t="str">
        <f ca="1">RESULTADOS!M69</f>
        <v/>
      </c>
      <c r="EE11" s="110" t="str">
        <f ca="1">RESULTADOS!N69</f>
        <v/>
      </c>
      <c r="EF11" s="110" t="str">
        <f ca="1">RESULTADOS!O69</f>
        <v/>
      </c>
      <c r="EG11" s="110" t="str">
        <f ca="1">RESULTADOS!P69</f>
        <v/>
      </c>
      <c r="EH11" s="110" t="str">
        <f ca="1">RESULTADOS!Q69</f>
        <v/>
      </c>
      <c r="EI11" s="110" t="str">
        <f ca="1">RESULTADOS!R69</f>
        <v/>
      </c>
      <c r="EJ11" s="110" t="str">
        <f ca="1">RESULTADOS!S69</f>
        <v/>
      </c>
      <c r="EK11" s="110" t="str">
        <f ca="1">RESULTADOS!T69</f>
        <v/>
      </c>
      <c r="EL11" s="110" t="str">
        <f ca="1">RESULTADOS!U69</f>
        <v/>
      </c>
      <c r="EM11" s="110" t="str">
        <f ca="1">RESULTADOS!V69</f>
        <v/>
      </c>
      <c r="EN11" s="110" t="str">
        <f ca="1">RESULTADOS!W69</f>
        <v/>
      </c>
      <c r="EO11" s="110" t="str">
        <f ca="1">RESULTADOS!X69</f>
        <v/>
      </c>
      <c r="EP11" s="110" t="str">
        <f ca="1">RESULTADOS!Y69</f>
        <v/>
      </c>
      <c r="EQ11" s="110" t="str">
        <f ca="1">RESULTADOS!Z69</f>
        <v/>
      </c>
      <c r="ER11" s="110" t="str">
        <f ca="1">RESULTADOS!AA69</f>
        <v/>
      </c>
      <c r="ES11" s="110" t="str">
        <f ca="1">RESULTADOS!AB69</f>
        <v/>
      </c>
      <c r="ET11" s="110" t="str">
        <f ca="1">RESULTADOS!AC69</f>
        <v/>
      </c>
      <c r="EU11" s="110" t="str">
        <f ca="1">RESULTADOS!AD69</f>
        <v/>
      </c>
      <c r="EV11" s="110" t="str">
        <f ca="1">RESULTADOS!AE69</f>
        <v/>
      </c>
      <c r="EW11" s="110" t="str">
        <f ca="1">RESULTADOS!AF69</f>
        <v/>
      </c>
      <c r="EX11" s="110" t="str">
        <f ca="1">RESULTADOS!AG69</f>
        <v/>
      </c>
      <c r="EY11" s="110" t="str">
        <f ca="1">RESULTADOS!AH69</f>
        <v/>
      </c>
      <c r="EZ11" s="110" t="str">
        <f ca="1">RESULTADOS!AI69</f>
        <v/>
      </c>
      <c r="FA11" s="110" t="str">
        <f ca="1">RESULTADOS!AJ69</f>
        <v/>
      </c>
      <c r="FB11" s="110" t="str">
        <f ca="1">RESULTADOS!AK69</f>
        <v/>
      </c>
      <c r="FC11" s="110" t="str">
        <f ca="1">RESULTADOS!AL69</f>
        <v/>
      </c>
      <c r="FD11" s="110" t="str">
        <f ca="1">RESULTADOS!AM69</f>
        <v/>
      </c>
      <c r="FE11" s="110" t="str">
        <f ca="1">RESULTADOS!AN69</f>
        <v/>
      </c>
      <c r="FF11" s="110" t="str">
        <f ca="1">RESULTADOS!AO69</f>
        <v/>
      </c>
      <c r="FG11" s="110" t="str">
        <f ca="1">RESULTADOS!AP69</f>
        <v/>
      </c>
      <c r="FH11" s="110" t="str">
        <f ca="1">RESULTADOS!AQ69</f>
        <v/>
      </c>
      <c r="FI11" s="110" t="str">
        <f ca="1">RESULTADOS!AR69</f>
        <v/>
      </c>
      <c r="FJ11" s="110" t="str">
        <f ca="1">RESULTADOS!AS69</f>
        <v/>
      </c>
      <c r="FK11" s="110" t="str">
        <f ca="1">RESULTADOS!AT69</f>
        <v/>
      </c>
      <c r="FL11" s="110" t="str">
        <f ca="1">RESULTADOS!AU69</f>
        <v/>
      </c>
      <c r="FM11" s="110" t="str">
        <f ca="1">RESULTADOS!AV69</f>
        <v/>
      </c>
      <c r="FN11" s="110" t="str">
        <f ca="1">RESULTADOS!AW69</f>
        <v/>
      </c>
    </row>
    <row r="12" spans="1:170" ht="13">
      <c r="C12" s="108" t="s">
        <v>24</v>
      </c>
      <c r="D12" s="111" t="str">
        <f>'01.Definición de ámbito'!C31</f>
        <v>Revisión del dominio solicitado</v>
      </c>
      <c r="E12" s="108" t="s">
        <v>55</v>
      </c>
      <c r="F12" s="111" t="str">
        <f>'02.Tecnologías'!I9</f>
        <v>No</v>
      </c>
      <c r="G12" s="111">
        <f>'02.Tecnologías'!K22</f>
        <v>0</v>
      </c>
      <c r="H12" s="111">
        <f>'02.Tecnologías'!L22</f>
        <v>0</v>
      </c>
      <c r="I12" s="161"/>
      <c r="J12" s="161"/>
      <c r="K12" s="22" t="s">
        <v>471</v>
      </c>
      <c r="L12" s="22" t="s">
        <v>254</v>
      </c>
      <c r="M12" s="22" t="s">
        <v>255</v>
      </c>
      <c r="N12" s="22" t="s">
        <v>96</v>
      </c>
      <c r="O12" s="22" t="s">
        <v>256</v>
      </c>
      <c r="P12" s="22" t="s">
        <v>472</v>
      </c>
      <c r="T12" s="112">
        <f>RESULTADOS!B29</f>
        <v>10</v>
      </c>
      <c r="U12" s="112" t="str">
        <f>RESULTADOS!C29</f>
        <v>Planes y Programas</v>
      </c>
      <c r="V12" s="112" t="str">
        <f t="shared" si="0"/>
        <v>Página web</v>
      </c>
      <c r="W12" s="112" t="str">
        <v>Pagina tipo</v>
      </c>
      <c r="X12" s="112" t="str">
        <f>RESULTADOS!D29</f>
        <v>https://www.comunidad.madrid/transparencia/normativa-planificacion/planes-programas</v>
      </c>
      <c r="Y12" s="112" t="str">
        <v>Transparencia - Normativa y planificación - Planes y programas</v>
      </c>
      <c r="Z12" s="187">
        <v>0</v>
      </c>
      <c r="AA12" s="110" t="str">
        <f ca="1">RESULTADOS!E29</f>
        <v>N/A</v>
      </c>
      <c r="AB12" s="110" t="str">
        <f ca="1">RESULTADOS!F29</f>
        <v>N/A</v>
      </c>
      <c r="AC12" s="110" t="str">
        <f ca="1">RESULTADOS!G29</f>
        <v>N/A</v>
      </c>
      <c r="AD12" s="110" t="str">
        <f ca="1">RESULTADOS!H29</f>
        <v>N/A</v>
      </c>
      <c r="AE12" s="110" t="str">
        <f ca="1">RESULTADOS!I29</f>
        <v>N/A</v>
      </c>
      <c r="AF12" s="110" t="str">
        <f ca="1">RESULTADOS!J29</f>
        <v>N/A</v>
      </c>
      <c r="AG12" s="110" t="str">
        <f ca="1">RESULTADOS!K29</f>
        <v>N/A</v>
      </c>
      <c r="AH12" s="110" t="str">
        <f ca="1">RESULTADOS!L29</f>
        <v>N/A</v>
      </c>
      <c r="AI12" s="110" t="str">
        <f ca="1">RESULTADOS!M29</f>
        <v>N/A</v>
      </c>
      <c r="AJ12" s="110" t="str">
        <f ca="1">RESULTADOS!N29</f>
        <v>N/A</v>
      </c>
      <c r="AK12" s="110" t="str">
        <f ca="1">RESULTADOS!O29</f>
        <v>N/A</v>
      </c>
      <c r="AL12" s="110" t="str">
        <f ca="1">RESULTADOS!P29</f>
        <v>N/A</v>
      </c>
      <c r="AM12" s="110" t="str">
        <f ca="1">RESULTADOS!Q29</f>
        <v>N/A</v>
      </c>
      <c r="AN12" s="110" t="str">
        <f ca="1">RESULTADOS!R29</f>
        <v>N/A</v>
      </c>
      <c r="AO12" s="110" t="str">
        <f ca="1">RESULTADOS!S29</f>
        <v>N/A</v>
      </c>
      <c r="AP12" s="110" t="str">
        <f ca="1">RESULTADOS!T29</f>
        <v>N/A</v>
      </c>
      <c r="AQ12" s="110" t="str">
        <f ca="1">RESULTADOS!U29</f>
        <v>N/A</v>
      </c>
      <c r="AR12" s="110" t="str">
        <f ca="1">RESULTADOS!V29</f>
        <v>N/A</v>
      </c>
      <c r="AS12" s="110" t="str">
        <f ca="1">RESULTADOS!W29</f>
        <v>N/A</v>
      </c>
      <c r="AT12" s="110" t="str">
        <f ca="1">RESULTADOS!X29</f>
        <v>N/A</v>
      </c>
      <c r="AU12" s="110" t="str">
        <f ca="1">RESULTADOS!Y29</f>
        <v>N/A</v>
      </c>
      <c r="AV12" s="110" t="str">
        <f ca="1">RESULTADOS!Z29</f>
        <v>N/A</v>
      </c>
      <c r="AW12" s="110" t="str">
        <f ca="1">RESULTADOS!AA29</f>
        <v>N/A</v>
      </c>
      <c r="AX12" s="110" t="str">
        <f ca="1">RESULTADOS!AB29</f>
        <v>N/A</v>
      </c>
      <c r="AY12" s="110" t="str">
        <f ca="1">RESULTADOS!AC29</f>
        <v>N/A</v>
      </c>
      <c r="AZ12" s="110" t="str">
        <f ca="1">RESULTADOS!AD29</f>
        <v>N/A</v>
      </c>
      <c r="BA12" s="110" t="str">
        <f ca="1">RESULTADOS!AE29</f>
        <v>N/A</v>
      </c>
      <c r="BB12" s="110" t="str">
        <f ca="1">RESULTADOS!AF29</f>
        <v>N/A</v>
      </c>
      <c r="BC12" s="110" t="str">
        <f ca="1">RESULTADOS!AG29</f>
        <v>N/A</v>
      </c>
      <c r="BD12" s="110" t="str">
        <f ca="1">RESULTADOS!AH29</f>
        <v>N/A</v>
      </c>
      <c r="BE12" s="110" t="str">
        <f ca="1">RESULTADOS!AI29</f>
        <v>N/A</v>
      </c>
      <c r="BF12" s="110" t="str">
        <f ca="1">RESULTADOS!AJ29</f>
        <v>Pasa</v>
      </c>
      <c r="BG12" s="110" t="str">
        <f ca="1">RESULTADOS!AK29</f>
        <v>N/A</v>
      </c>
      <c r="BH12" s="110" t="str">
        <f ca="1">RESULTADOS!AL29</f>
        <v>N/A</v>
      </c>
      <c r="BI12" s="110" t="str">
        <f ca="1">RESULTADOS!AM29</f>
        <v>N/A</v>
      </c>
      <c r="BJ12" s="110" t="str">
        <f ca="1">RESULTADOS!AN29</f>
        <v>N/A</v>
      </c>
      <c r="BK12" s="110" t="str">
        <f ca="1">RESULTADOS!AO29</f>
        <v>Pasa</v>
      </c>
      <c r="BL12" s="110" t="str">
        <f ca="1">RESULTADOS!AP29</f>
        <v>Falla</v>
      </c>
      <c r="BM12" s="110" t="str">
        <f ca="1">RESULTADOS!AQ29</f>
        <v>Falla</v>
      </c>
      <c r="BN12" s="110" t="str">
        <f ca="1">RESULTADOS!AR29</f>
        <v>Pasa</v>
      </c>
      <c r="BO12" s="110" t="str">
        <f ca="1">RESULTADOS!AS29</f>
        <v>N/A</v>
      </c>
      <c r="BP12" s="110" t="str">
        <f ca="1">RESULTADOS!AT29</f>
        <v>N/A</v>
      </c>
      <c r="BQ12" s="110" t="str">
        <f ca="1">RESULTADOS!AU29</f>
        <v>N/A</v>
      </c>
      <c r="BR12" s="110" t="str">
        <f ca="1">RESULTADOS!AV29</f>
        <v>Pasa</v>
      </c>
      <c r="BS12" s="110" t="str">
        <f ca="1">RESULTADOS!AW29</f>
        <v>Falla</v>
      </c>
      <c r="BT12" s="110" t="str">
        <f ca="1">RESULTADOS!AX29</f>
        <v>N/A</v>
      </c>
      <c r="BU12" s="110" t="str">
        <f ca="1">RESULTADOS!AY29</f>
        <v>Falla</v>
      </c>
      <c r="BV12" s="110" t="str">
        <f ca="1">RESULTADOS!AZ29</f>
        <v>Falla</v>
      </c>
      <c r="BW12" s="110" t="str">
        <f ca="1">RESULTADOS!BA29</f>
        <v>Pasa</v>
      </c>
      <c r="BX12" s="110" t="str">
        <f ca="1">RESULTADOS!BB29</f>
        <v>Falla</v>
      </c>
      <c r="BY12" s="110" t="str">
        <f ca="1">RESULTADOS!BC29</f>
        <v>Pasa</v>
      </c>
      <c r="BZ12" s="110" t="str">
        <f ca="1">RESULTADOS!BD29</f>
        <v>Pasa</v>
      </c>
      <c r="CA12" s="110" t="str">
        <f ca="1">RESULTADOS!BE29</f>
        <v>N/A</v>
      </c>
      <c r="CB12" s="110" t="str">
        <f ca="1">RESULTADOS!BF29</f>
        <v>N/A</v>
      </c>
      <c r="CC12" s="110" t="str">
        <f ca="1">RESULTADOS!BG29</f>
        <v>N/A</v>
      </c>
      <c r="CD12" s="110" t="str">
        <f ca="1">RESULTADOS!BH29</f>
        <v>N/A</v>
      </c>
      <c r="CE12" s="110" t="str">
        <f ca="1">RESULTADOS!BI29</f>
        <v>N/A</v>
      </c>
      <c r="CF12" s="110" t="str">
        <f ca="1">RESULTADOS!BJ29</f>
        <v>Pasa</v>
      </c>
      <c r="CG12" s="110" t="str">
        <f ca="1">RESULTADOS!BK29</f>
        <v>Pasa</v>
      </c>
      <c r="CH12" s="110" t="str">
        <f ca="1">RESULTADOS!BL29</f>
        <v>Pasa</v>
      </c>
      <c r="CI12" s="110" t="str">
        <f ca="1">RESULTADOS!BM29</f>
        <v>Pasa</v>
      </c>
      <c r="CJ12" s="110" t="str">
        <f ca="1">RESULTADOS!BN29</f>
        <v>Pasa</v>
      </c>
      <c r="CK12" s="110" t="str">
        <f ca="1">RESULTADOS!BO29</f>
        <v>Pasa</v>
      </c>
      <c r="CL12" s="110" t="str">
        <f ca="1">RESULTADOS!BP29</f>
        <v>N/A</v>
      </c>
      <c r="CM12" s="110" t="str">
        <f ca="1">RESULTADOS!BQ29</f>
        <v>N/A</v>
      </c>
      <c r="CN12" s="110" t="str">
        <f ca="1">RESULTADOS!BR29</f>
        <v>Pasa</v>
      </c>
      <c r="CO12" s="110" t="str">
        <f ca="1">RESULTADOS!BS29</f>
        <v>N/A</v>
      </c>
      <c r="CP12" s="110" t="str">
        <f ca="1">RESULTADOS!BT29</f>
        <v>Pasa</v>
      </c>
      <c r="CQ12" s="110" t="str">
        <f ca="1">RESULTADOS!BU29</f>
        <v>N/A</v>
      </c>
      <c r="CR12" s="110" t="str">
        <f ca="1">RESULTADOS!BV29</f>
        <v>Pasa</v>
      </c>
      <c r="CS12" s="110" t="str">
        <f ca="1">RESULTADOS!BW29</f>
        <v>Pasa</v>
      </c>
      <c r="CT12" s="110" t="str">
        <f ca="1">RESULTADOS!BX29</f>
        <v>Pasa</v>
      </c>
      <c r="CU12" s="110" t="str">
        <f ca="1">RESULTADOS!BY29</f>
        <v>Pasa</v>
      </c>
      <c r="CV12" s="110" t="str">
        <f ca="1">RESULTADOS!BZ29</f>
        <v>N/A</v>
      </c>
      <c r="CW12" s="110" t="str">
        <f ca="1">RESULTADOS!CA29</f>
        <v>Falla</v>
      </c>
      <c r="CX12" s="110" t="str">
        <f ca="1">RESULTADOS!CB29</f>
        <v>N/A</v>
      </c>
      <c r="CY12" s="110" t="str">
        <f ca="1">RESULTADOS!CC29</f>
        <v>N/A</v>
      </c>
      <c r="CZ12" s="110" t="str">
        <f ca="1">RESULTADOS!CD29</f>
        <v>Pasa</v>
      </c>
      <c r="DA12" s="110" t="str">
        <f ca="1">RESULTADOS!CE29</f>
        <v>Pasa</v>
      </c>
      <c r="DB12" s="110" t="str">
        <f ca="1">RESULTADOS!CF29</f>
        <v>N/A</v>
      </c>
      <c r="DC12" s="110" t="str">
        <f ca="1">RESULTADOS!CG29</f>
        <v>Falla</v>
      </c>
      <c r="DD12" s="110" t="str">
        <f ca="1">RESULTADOS!CH29</f>
        <v>N/A</v>
      </c>
      <c r="DE12" s="110" t="str">
        <f ca="1">RESULTADOS!CI29</f>
        <v>N/A</v>
      </c>
      <c r="DF12" s="110" t="str">
        <f ca="1">RESULTADOS!CJ29</f>
        <v>N/A</v>
      </c>
      <c r="DG12" s="110" t="str">
        <f ca="1">RESULTADOS!CK29</f>
        <v>N/A</v>
      </c>
      <c r="DH12" s="110" t="str">
        <f ca="1">RESULTADOS!CL29</f>
        <v>N/A</v>
      </c>
      <c r="DI12" s="110" t="str">
        <f ca="1">RESULTADOS!CM29</f>
        <v>N/A</v>
      </c>
      <c r="DJ12" s="110" t="str">
        <f ca="1">RESULTADOS!CN29</f>
        <v>Pasa</v>
      </c>
      <c r="DK12" s="110" t="str">
        <f ca="1">RESULTADOS!CO29</f>
        <v>Falla</v>
      </c>
      <c r="DL12" s="110" t="str">
        <f ca="1">RESULTADOS!CP29</f>
        <v>Falla</v>
      </c>
      <c r="DM12" s="110" t="str">
        <f ca="1">RESULTADOS!CQ29</f>
        <v>Pasa</v>
      </c>
      <c r="DN12" s="110" t="str">
        <f ca="1">RESULTADOS!CR29</f>
        <v>Falla</v>
      </c>
      <c r="DO12" s="112" t="str">
        <f>RESULTADOS!B70</f>
        <v/>
      </c>
      <c r="DP12" s="112" t="str">
        <f>RESULTADOS!C70</f>
        <v/>
      </c>
      <c r="DQ12" s="112" t="str">
        <f t="shared" si="1"/>
        <v/>
      </c>
      <c r="DR12" s="112" t="str" cm="1">
        <f t="array" ref="DR12">IFERROR(INDEX('03.Muestra'!$E$8:$E$42,SMALL(IF("Documento no web"='03.Muestra'!$D$8:$D$42,ROW('03.Muestra'!$E$8:$E$42)-MIN(ROW('03.Muestra'!$D$8:$D$42))+1,""),ROW()-2)),"")</f>
        <v/>
      </c>
      <c r="DS12" s="112" t="str">
        <f>RESULTADOS!D70</f>
        <v/>
      </c>
      <c r="DT12" s="112" t="str" cm="1">
        <f t="array" ref="DT12">IFERROR(INDEX('03.Muestra'!$G$8:$G$42,SMALL(IF("Documento no web"='03.Muestra'!$D$8:$D$42,ROW('03.Muestra'!$G$8:$G$42)-MIN(ROW('03.Muestra'!$D$8:$D$42))+1,""),ROW()-2)),"")</f>
        <v/>
      </c>
      <c r="DU12" s="187" t="str" cm="1">
        <f t="array" ref="DU12">IFERROR(INDEX('03.Muestra'!$H$8:$H$42,SMALL(IF("Documento no web"='03.Muestra'!$D$8:$D$42,ROW('03.Muestra'!$H$8:$H$42)-MIN(ROW('03.Muestra'!$D$8:$D$42))+1,""),ROW()-2)),"")</f>
        <v/>
      </c>
      <c r="DV12" s="110" t="str">
        <f ca="1">RESULTADOS!E70</f>
        <v/>
      </c>
      <c r="DW12" s="110" t="str">
        <f ca="1">RESULTADOS!F70</f>
        <v/>
      </c>
      <c r="DX12" s="110" t="str">
        <f ca="1">RESULTADOS!G70</f>
        <v/>
      </c>
      <c r="DY12" s="110" t="str">
        <f ca="1">RESULTADOS!H70</f>
        <v/>
      </c>
      <c r="DZ12" s="110" t="str">
        <f ca="1">RESULTADOS!I70</f>
        <v/>
      </c>
      <c r="EA12" s="110" t="str">
        <f ca="1">RESULTADOS!J70</f>
        <v/>
      </c>
      <c r="EB12" s="110" t="str">
        <f ca="1">RESULTADOS!K70</f>
        <v/>
      </c>
      <c r="EC12" s="110" t="str">
        <f ca="1">RESULTADOS!L70</f>
        <v/>
      </c>
      <c r="ED12" s="110" t="str">
        <f ca="1">RESULTADOS!M70</f>
        <v/>
      </c>
      <c r="EE12" s="110" t="str">
        <f ca="1">RESULTADOS!N70</f>
        <v/>
      </c>
      <c r="EF12" s="110" t="str">
        <f ca="1">RESULTADOS!O70</f>
        <v/>
      </c>
      <c r="EG12" s="110" t="str">
        <f ca="1">RESULTADOS!P70</f>
        <v/>
      </c>
      <c r="EH12" s="110" t="str">
        <f ca="1">RESULTADOS!Q70</f>
        <v/>
      </c>
      <c r="EI12" s="110" t="str">
        <f ca="1">RESULTADOS!R70</f>
        <v/>
      </c>
      <c r="EJ12" s="110" t="str">
        <f ca="1">RESULTADOS!S70</f>
        <v/>
      </c>
      <c r="EK12" s="110" t="str">
        <f ca="1">RESULTADOS!T70</f>
        <v/>
      </c>
      <c r="EL12" s="110" t="str">
        <f ca="1">RESULTADOS!U70</f>
        <v/>
      </c>
      <c r="EM12" s="110" t="str">
        <f ca="1">RESULTADOS!V70</f>
        <v/>
      </c>
      <c r="EN12" s="110" t="str">
        <f ca="1">RESULTADOS!W70</f>
        <v/>
      </c>
      <c r="EO12" s="110" t="str">
        <f ca="1">RESULTADOS!X70</f>
        <v/>
      </c>
      <c r="EP12" s="110" t="str">
        <f ca="1">RESULTADOS!Y70</f>
        <v/>
      </c>
      <c r="EQ12" s="110" t="str">
        <f ca="1">RESULTADOS!Z70</f>
        <v/>
      </c>
      <c r="ER12" s="110" t="str">
        <f ca="1">RESULTADOS!AA70</f>
        <v/>
      </c>
      <c r="ES12" s="110" t="str">
        <f ca="1">RESULTADOS!AB70</f>
        <v/>
      </c>
      <c r="ET12" s="110" t="str">
        <f ca="1">RESULTADOS!AC70</f>
        <v/>
      </c>
      <c r="EU12" s="110" t="str">
        <f ca="1">RESULTADOS!AD70</f>
        <v/>
      </c>
      <c r="EV12" s="110" t="str">
        <f ca="1">RESULTADOS!AE70</f>
        <v/>
      </c>
      <c r="EW12" s="110" t="str">
        <f ca="1">RESULTADOS!AF70</f>
        <v/>
      </c>
      <c r="EX12" s="110" t="str">
        <f ca="1">RESULTADOS!AG70</f>
        <v/>
      </c>
      <c r="EY12" s="110" t="str">
        <f ca="1">RESULTADOS!AH70</f>
        <v/>
      </c>
      <c r="EZ12" s="110" t="str">
        <f ca="1">RESULTADOS!AI70</f>
        <v/>
      </c>
      <c r="FA12" s="110" t="str">
        <f ca="1">RESULTADOS!AJ70</f>
        <v/>
      </c>
      <c r="FB12" s="110" t="str">
        <f ca="1">RESULTADOS!AK70</f>
        <v/>
      </c>
      <c r="FC12" s="110" t="str">
        <f ca="1">RESULTADOS!AL70</f>
        <v/>
      </c>
      <c r="FD12" s="110" t="str">
        <f ca="1">RESULTADOS!AM70</f>
        <v/>
      </c>
      <c r="FE12" s="110" t="str">
        <f ca="1">RESULTADOS!AN70</f>
        <v/>
      </c>
      <c r="FF12" s="110" t="str">
        <f ca="1">RESULTADOS!AO70</f>
        <v/>
      </c>
      <c r="FG12" s="110" t="str">
        <f ca="1">RESULTADOS!AP70</f>
        <v/>
      </c>
      <c r="FH12" s="110" t="str">
        <f ca="1">RESULTADOS!AQ70</f>
        <v/>
      </c>
      <c r="FI12" s="110" t="str">
        <f ca="1">RESULTADOS!AR70</f>
        <v/>
      </c>
      <c r="FJ12" s="110" t="str">
        <f ca="1">RESULTADOS!AS70</f>
        <v/>
      </c>
      <c r="FK12" s="110" t="str">
        <f ca="1">RESULTADOS!AT70</f>
        <v/>
      </c>
      <c r="FL12" s="110" t="str">
        <f ca="1">RESULTADOS!AU70</f>
        <v/>
      </c>
      <c r="FM12" s="110" t="str">
        <f ca="1">RESULTADOS!AV70</f>
        <v/>
      </c>
      <c r="FN12" s="110" t="str">
        <f ca="1">RESULTADOS!AW70</f>
        <v/>
      </c>
    </row>
    <row r="13" spans="1:170" ht="13">
      <c r="C13" s="108" t="s">
        <v>25</v>
      </c>
      <c r="D13" s="111" t="str">
        <f>'01.Definición de ámbito'!C33</f>
        <v>Información pública</v>
      </c>
      <c r="E13" s="108" t="s">
        <v>58</v>
      </c>
      <c r="F13" s="111" t="str">
        <f>'02.Tecnologías'!I10</f>
        <v>No</v>
      </c>
      <c r="G13" s="111">
        <f>'02.Tecnologías'!K23</f>
        <v>0</v>
      </c>
      <c r="H13" s="111">
        <f>'02.Tecnologías'!L23</f>
        <v>0</v>
      </c>
      <c r="I13" s="161"/>
      <c r="J13" s="161"/>
      <c r="K13" t="s">
        <v>473</v>
      </c>
      <c r="L13" s="163" t="str">
        <f ca="1">RESULTADOS!E8</f>
        <v>21 (22,83 %)</v>
      </c>
      <c r="M13" s="163" t="str">
        <f ca="1">RESULTADOS!F8</f>
        <v>13 (14,13 %)</v>
      </c>
      <c r="N13" s="163" t="str">
        <f ca="1">RESULTADOS!G8</f>
        <v>58 (63,04 %)</v>
      </c>
      <c r="O13" s="112">
        <f ca="1">RESULTADOS!H8</f>
        <v>0</v>
      </c>
      <c r="P13" s="112">
        <f ca="1">RESULTADOS!I8</f>
        <v>0</v>
      </c>
      <c r="T13" s="112">
        <f>RESULTADOS!B30</f>
        <v>11</v>
      </c>
      <c r="U13" s="112" t="str">
        <f>RESULTADOS!C30</f>
        <v>Estrategia</v>
      </c>
      <c r="V13" s="112" t="str">
        <f t="shared" si="0"/>
        <v>Página web</v>
      </c>
      <c r="W13" s="112" t="str">
        <v>Aleatoria</v>
      </c>
      <c r="X13" s="112" t="str">
        <f>RESULTADOS!D30</f>
        <v>https://www.comunidad.madrid/transparencia/informacion-institucional/planes-programas/estrategia-seguridad-del-paciente-del-servicio-madrileno</v>
      </c>
      <c r="Y13" s="112" t="str">
        <v>Transparencia - Normativa y planificación - Planes y progamas - Estrategia</v>
      </c>
      <c r="Z13" s="187">
        <v>0</v>
      </c>
      <c r="AA13" s="110" t="str">
        <f ca="1">RESULTADOS!E30</f>
        <v>N/A</v>
      </c>
      <c r="AB13" s="110" t="str">
        <f ca="1">RESULTADOS!F30</f>
        <v>N/A</v>
      </c>
      <c r="AC13" s="110" t="str">
        <f ca="1">RESULTADOS!G30</f>
        <v>N/A</v>
      </c>
      <c r="AD13" s="110" t="str">
        <f ca="1">RESULTADOS!H30</f>
        <v>N/A</v>
      </c>
      <c r="AE13" s="110" t="str">
        <f ca="1">RESULTADOS!I30</f>
        <v>N/A</v>
      </c>
      <c r="AF13" s="110" t="str">
        <f ca="1">RESULTADOS!J30</f>
        <v>N/A</v>
      </c>
      <c r="AG13" s="110" t="str">
        <f ca="1">RESULTADOS!K30</f>
        <v>N/A</v>
      </c>
      <c r="AH13" s="110" t="str">
        <f ca="1">RESULTADOS!L30</f>
        <v>N/A</v>
      </c>
      <c r="AI13" s="110" t="str">
        <f ca="1">RESULTADOS!M30</f>
        <v>N/A</v>
      </c>
      <c r="AJ13" s="110" t="str">
        <f ca="1">RESULTADOS!N30</f>
        <v>N/A</v>
      </c>
      <c r="AK13" s="110" t="str">
        <f ca="1">RESULTADOS!O30</f>
        <v>N/A</v>
      </c>
      <c r="AL13" s="110" t="str">
        <f ca="1">RESULTADOS!P30</f>
        <v>N/A</v>
      </c>
      <c r="AM13" s="110" t="str">
        <f ca="1">RESULTADOS!Q30</f>
        <v>N/A</v>
      </c>
      <c r="AN13" s="110" t="str">
        <f ca="1">RESULTADOS!R30</f>
        <v>N/A</v>
      </c>
      <c r="AO13" s="110" t="str">
        <f ca="1">RESULTADOS!S30</f>
        <v>N/A</v>
      </c>
      <c r="AP13" s="110" t="str">
        <f ca="1">RESULTADOS!T30</f>
        <v>N/A</v>
      </c>
      <c r="AQ13" s="110" t="str">
        <f ca="1">RESULTADOS!U30</f>
        <v>N/A</v>
      </c>
      <c r="AR13" s="110" t="str">
        <f ca="1">RESULTADOS!V30</f>
        <v>N/A</v>
      </c>
      <c r="AS13" s="110" t="str">
        <f ca="1">RESULTADOS!W30</f>
        <v>N/A</v>
      </c>
      <c r="AT13" s="110" t="str">
        <f ca="1">RESULTADOS!X30</f>
        <v>N/A</v>
      </c>
      <c r="AU13" s="110" t="str">
        <f ca="1">RESULTADOS!Y30</f>
        <v>N/A</v>
      </c>
      <c r="AV13" s="110" t="str">
        <f ca="1">RESULTADOS!Z30</f>
        <v>N/A</v>
      </c>
      <c r="AW13" s="110" t="str">
        <f ca="1">RESULTADOS!AA30</f>
        <v>N/A</v>
      </c>
      <c r="AX13" s="110" t="str">
        <f ca="1">RESULTADOS!AB30</f>
        <v>N/A</v>
      </c>
      <c r="AY13" s="110" t="str">
        <f ca="1">RESULTADOS!AC30</f>
        <v>N/A</v>
      </c>
      <c r="AZ13" s="110" t="str">
        <f ca="1">RESULTADOS!AD30</f>
        <v>N/A</v>
      </c>
      <c r="BA13" s="110" t="str">
        <f ca="1">RESULTADOS!AE30</f>
        <v>N/A</v>
      </c>
      <c r="BB13" s="110" t="str">
        <f ca="1">RESULTADOS!AF30</f>
        <v>N/A</v>
      </c>
      <c r="BC13" s="110" t="str">
        <f ca="1">RESULTADOS!AG30</f>
        <v>N/A</v>
      </c>
      <c r="BD13" s="110" t="str">
        <f ca="1">RESULTADOS!AH30</f>
        <v>N/A</v>
      </c>
      <c r="BE13" s="110" t="str">
        <f ca="1">RESULTADOS!AI30</f>
        <v>N/A</v>
      </c>
      <c r="BF13" s="110" t="str">
        <f ca="1">RESULTADOS!AJ30</f>
        <v>Pasa</v>
      </c>
      <c r="BG13" s="110" t="str">
        <f ca="1">RESULTADOS!AK30</f>
        <v>N/A</v>
      </c>
      <c r="BH13" s="110" t="str">
        <f ca="1">RESULTADOS!AL30</f>
        <v>N/A</v>
      </c>
      <c r="BI13" s="110" t="str">
        <f ca="1">RESULTADOS!AM30</f>
        <v>N/A</v>
      </c>
      <c r="BJ13" s="110" t="str">
        <f ca="1">RESULTADOS!AN30</f>
        <v>N/A</v>
      </c>
      <c r="BK13" s="110" t="str">
        <f ca="1">RESULTADOS!AO30</f>
        <v>Pasa</v>
      </c>
      <c r="BL13" s="110" t="str">
        <f ca="1">RESULTADOS!AP30</f>
        <v>Falla</v>
      </c>
      <c r="BM13" s="110" t="str">
        <f ca="1">RESULTADOS!AQ30</f>
        <v>Falla</v>
      </c>
      <c r="BN13" s="110" t="str">
        <f ca="1">RESULTADOS!AR30</f>
        <v>Pasa</v>
      </c>
      <c r="BO13" s="110" t="str">
        <f ca="1">RESULTADOS!AS30</f>
        <v>N/A</v>
      </c>
      <c r="BP13" s="110" t="str">
        <f ca="1">RESULTADOS!AT30</f>
        <v>N/A</v>
      </c>
      <c r="BQ13" s="110" t="str">
        <f ca="1">RESULTADOS!AU30</f>
        <v>N/A</v>
      </c>
      <c r="BR13" s="110" t="str">
        <f ca="1">RESULTADOS!AV30</f>
        <v>Pasa</v>
      </c>
      <c r="BS13" s="110" t="str">
        <f ca="1">RESULTADOS!AW30</f>
        <v>Falla</v>
      </c>
      <c r="BT13" s="110" t="str">
        <f ca="1">RESULTADOS!AX30</f>
        <v>N/A</v>
      </c>
      <c r="BU13" s="110" t="str">
        <f ca="1">RESULTADOS!AY30</f>
        <v>Falla</v>
      </c>
      <c r="BV13" s="110" t="str">
        <f ca="1">RESULTADOS!AZ30</f>
        <v>Falla</v>
      </c>
      <c r="BW13" s="110" t="str">
        <f ca="1">RESULTADOS!BA30</f>
        <v>Pasa</v>
      </c>
      <c r="BX13" s="110" t="str">
        <f ca="1">RESULTADOS!BB30</f>
        <v>Falla</v>
      </c>
      <c r="BY13" s="110" t="str">
        <f ca="1">RESULTADOS!BC30</f>
        <v>Pasa</v>
      </c>
      <c r="BZ13" s="110" t="str">
        <f ca="1">RESULTADOS!BD30</f>
        <v>Pasa</v>
      </c>
      <c r="CA13" s="110" t="str">
        <f ca="1">RESULTADOS!BE30</f>
        <v>N/A</v>
      </c>
      <c r="CB13" s="110" t="str">
        <f ca="1">RESULTADOS!BF30</f>
        <v>N/A</v>
      </c>
      <c r="CC13" s="110" t="str">
        <f ca="1">RESULTADOS!BG30</f>
        <v>N/A</v>
      </c>
      <c r="CD13" s="110" t="str">
        <f ca="1">RESULTADOS!BH30</f>
        <v>N/A</v>
      </c>
      <c r="CE13" s="110" t="str">
        <f ca="1">RESULTADOS!BI30</f>
        <v>N/A</v>
      </c>
      <c r="CF13" s="110" t="str">
        <f ca="1">RESULTADOS!BJ30</f>
        <v>Pasa</v>
      </c>
      <c r="CG13" s="110" t="str">
        <f ca="1">RESULTADOS!BK30</f>
        <v>Pasa</v>
      </c>
      <c r="CH13" s="110" t="str">
        <f ca="1">RESULTADOS!BL30</f>
        <v>Pasa</v>
      </c>
      <c r="CI13" s="110" t="str">
        <f ca="1">RESULTADOS!BM30</f>
        <v>Pasa</v>
      </c>
      <c r="CJ13" s="110" t="str">
        <f ca="1">RESULTADOS!BN30</f>
        <v>Pasa</v>
      </c>
      <c r="CK13" s="110" t="str">
        <f ca="1">RESULTADOS!BO30</f>
        <v>Pasa</v>
      </c>
      <c r="CL13" s="110" t="str">
        <f ca="1">RESULTADOS!BP30</f>
        <v>N/A</v>
      </c>
      <c r="CM13" s="110" t="str">
        <f ca="1">RESULTADOS!BQ30</f>
        <v>N/A</v>
      </c>
      <c r="CN13" s="110" t="str">
        <f ca="1">RESULTADOS!BR30</f>
        <v>Pasa</v>
      </c>
      <c r="CO13" s="110" t="str">
        <f ca="1">RESULTADOS!BS30</f>
        <v>N/A</v>
      </c>
      <c r="CP13" s="110" t="str">
        <f ca="1">RESULTADOS!BT30</f>
        <v>Pasa</v>
      </c>
      <c r="CQ13" s="110" t="str">
        <f ca="1">RESULTADOS!BU30</f>
        <v>N/A</v>
      </c>
      <c r="CR13" s="110" t="str">
        <f ca="1">RESULTADOS!BV30</f>
        <v>Pasa</v>
      </c>
      <c r="CS13" s="110" t="str">
        <f ca="1">RESULTADOS!BW30</f>
        <v>Pasa</v>
      </c>
      <c r="CT13" s="110" t="str">
        <f ca="1">RESULTADOS!BX30</f>
        <v>Pasa</v>
      </c>
      <c r="CU13" s="110" t="str">
        <f ca="1">RESULTADOS!BY30</f>
        <v>Pasa</v>
      </c>
      <c r="CV13" s="110" t="str">
        <f ca="1">RESULTADOS!BZ30</f>
        <v>N/A</v>
      </c>
      <c r="CW13" s="110" t="str">
        <f ca="1">RESULTADOS!CA30</f>
        <v>Pasa</v>
      </c>
      <c r="CX13" s="110" t="str">
        <f ca="1">RESULTADOS!CB30</f>
        <v>N/A</v>
      </c>
      <c r="CY13" s="110" t="str">
        <f ca="1">RESULTADOS!CC30</f>
        <v>N/A</v>
      </c>
      <c r="CZ13" s="110" t="str">
        <f ca="1">RESULTADOS!CD30</f>
        <v>Pasa</v>
      </c>
      <c r="DA13" s="110" t="str">
        <f ca="1">RESULTADOS!CE30</f>
        <v>Pasa</v>
      </c>
      <c r="DB13" s="110" t="str">
        <f ca="1">RESULTADOS!CF30</f>
        <v>N/A</v>
      </c>
      <c r="DC13" s="110" t="str">
        <f ca="1">RESULTADOS!CG30</f>
        <v>Falla</v>
      </c>
      <c r="DD13" s="110" t="str">
        <f ca="1">RESULTADOS!CH30</f>
        <v>N/A</v>
      </c>
      <c r="DE13" s="110" t="str">
        <f ca="1">RESULTADOS!CI30</f>
        <v>N/A</v>
      </c>
      <c r="DF13" s="110" t="str">
        <f ca="1">RESULTADOS!CJ30</f>
        <v>N/A</v>
      </c>
      <c r="DG13" s="110" t="str">
        <f ca="1">RESULTADOS!CK30</f>
        <v>N/A</v>
      </c>
      <c r="DH13" s="110" t="str">
        <f ca="1">RESULTADOS!CL30</f>
        <v>N/A</v>
      </c>
      <c r="DI13" s="110" t="str">
        <f ca="1">RESULTADOS!CM30</f>
        <v>N/A</v>
      </c>
      <c r="DJ13" s="110" t="str">
        <f ca="1">RESULTADOS!CN30</f>
        <v>Pasa</v>
      </c>
      <c r="DK13" s="110" t="str">
        <f ca="1">RESULTADOS!CO30</f>
        <v>Falla</v>
      </c>
      <c r="DL13" s="110" t="str">
        <f ca="1">RESULTADOS!CP30</f>
        <v>Falla</v>
      </c>
      <c r="DM13" s="110" t="str">
        <f ca="1">RESULTADOS!CQ30</f>
        <v>Pasa</v>
      </c>
      <c r="DN13" s="110" t="str">
        <f ca="1">RESULTADOS!CR30</f>
        <v>Falla</v>
      </c>
      <c r="DO13" s="112" t="str">
        <f>RESULTADOS!B71</f>
        <v/>
      </c>
      <c r="DP13" s="112" t="str">
        <f>RESULTADOS!C71</f>
        <v/>
      </c>
      <c r="DQ13" s="112" t="str">
        <f t="shared" si="1"/>
        <v/>
      </c>
      <c r="DR13" s="112" t="str" cm="1">
        <f t="array" ref="DR13">IFERROR(INDEX('03.Muestra'!$E$8:$E$42,SMALL(IF("Documento no web"='03.Muestra'!$D$8:$D$42,ROW('03.Muestra'!$E$8:$E$42)-MIN(ROW('03.Muestra'!$D$8:$D$42))+1,""),ROW()-2)),"")</f>
        <v/>
      </c>
      <c r="DS13" s="112" t="str">
        <f>RESULTADOS!D71</f>
        <v/>
      </c>
      <c r="DT13" s="112" t="str" cm="1">
        <f t="array" ref="DT13">IFERROR(INDEX('03.Muestra'!$G$8:$G$42,SMALL(IF("Documento no web"='03.Muestra'!$D$8:$D$42,ROW('03.Muestra'!$G$8:$G$42)-MIN(ROW('03.Muestra'!$D$8:$D$42))+1,""),ROW()-2)),"")</f>
        <v/>
      </c>
      <c r="DU13" s="187" t="str" cm="1">
        <f t="array" ref="DU13">IFERROR(INDEX('03.Muestra'!$H$8:$H$42,SMALL(IF("Documento no web"='03.Muestra'!$D$8:$D$42,ROW('03.Muestra'!$H$8:$H$42)-MIN(ROW('03.Muestra'!$D$8:$D$42))+1,""),ROW()-2)),"")</f>
        <v/>
      </c>
      <c r="DV13" s="110" t="str">
        <f ca="1">RESULTADOS!E71</f>
        <v/>
      </c>
      <c r="DW13" s="110" t="str">
        <f ca="1">RESULTADOS!F71</f>
        <v/>
      </c>
      <c r="DX13" s="110" t="str">
        <f ca="1">RESULTADOS!G71</f>
        <v/>
      </c>
      <c r="DY13" s="110" t="str">
        <f ca="1">RESULTADOS!H71</f>
        <v/>
      </c>
      <c r="DZ13" s="110" t="str">
        <f ca="1">RESULTADOS!I71</f>
        <v/>
      </c>
      <c r="EA13" s="110" t="str">
        <f ca="1">RESULTADOS!J71</f>
        <v/>
      </c>
      <c r="EB13" s="110" t="str">
        <f ca="1">RESULTADOS!K71</f>
        <v/>
      </c>
      <c r="EC13" s="110" t="str">
        <f ca="1">RESULTADOS!L71</f>
        <v/>
      </c>
      <c r="ED13" s="110" t="str">
        <f ca="1">RESULTADOS!M71</f>
        <v/>
      </c>
      <c r="EE13" s="110" t="str">
        <f ca="1">RESULTADOS!N71</f>
        <v/>
      </c>
      <c r="EF13" s="110" t="str">
        <f ca="1">RESULTADOS!O71</f>
        <v/>
      </c>
      <c r="EG13" s="110" t="str">
        <f ca="1">RESULTADOS!P71</f>
        <v/>
      </c>
      <c r="EH13" s="110" t="str">
        <f ca="1">RESULTADOS!Q71</f>
        <v/>
      </c>
      <c r="EI13" s="110" t="str">
        <f ca="1">RESULTADOS!R71</f>
        <v/>
      </c>
      <c r="EJ13" s="110" t="str">
        <f ca="1">RESULTADOS!S71</f>
        <v/>
      </c>
      <c r="EK13" s="110" t="str">
        <f ca="1">RESULTADOS!T71</f>
        <v/>
      </c>
      <c r="EL13" s="110" t="str">
        <f ca="1">RESULTADOS!U71</f>
        <v/>
      </c>
      <c r="EM13" s="110" t="str">
        <f ca="1">RESULTADOS!V71</f>
        <v/>
      </c>
      <c r="EN13" s="110" t="str">
        <f ca="1">RESULTADOS!W71</f>
        <v/>
      </c>
      <c r="EO13" s="110" t="str">
        <f ca="1">RESULTADOS!X71</f>
        <v/>
      </c>
      <c r="EP13" s="110" t="str">
        <f ca="1">RESULTADOS!Y71</f>
        <v/>
      </c>
      <c r="EQ13" s="110" t="str">
        <f ca="1">RESULTADOS!Z71</f>
        <v/>
      </c>
      <c r="ER13" s="110" t="str">
        <f ca="1">RESULTADOS!AA71</f>
        <v/>
      </c>
      <c r="ES13" s="110" t="str">
        <f ca="1">RESULTADOS!AB71</f>
        <v/>
      </c>
      <c r="ET13" s="110" t="str">
        <f ca="1">RESULTADOS!AC71</f>
        <v/>
      </c>
      <c r="EU13" s="110" t="str">
        <f ca="1">RESULTADOS!AD71</f>
        <v/>
      </c>
      <c r="EV13" s="110" t="str">
        <f ca="1">RESULTADOS!AE71</f>
        <v/>
      </c>
      <c r="EW13" s="110" t="str">
        <f ca="1">RESULTADOS!AF71</f>
        <v/>
      </c>
      <c r="EX13" s="110" t="str">
        <f ca="1">RESULTADOS!AG71</f>
        <v/>
      </c>
      <c r="EY13" s="110" t="str">
        <f ca="1">RESULTADOS!AH71</f>
        <v/>
      </c>
      <c r="EZ13" s="110" t="str">
        <f ca="1">RESULTADOS!AI71</f>
        <v/>
      </c>
      <c r="FA13" s="110" t="str">
        <f ca="1">RESULTADOS!AJ71</f>
        <v/>
      </c>
      <c r="FB13" s="110" t="str">
        <f ca="1">RESULTADOS!AK71</f>
        <v/>
      </c>
      <c r="FC13" s="110" t="str">
        <f ca="1">RESULTADOS!AL71</f>
        <v/>
      </c>
      <c r="FD13" s="110" t="str">
        <f ca="1">RESULTADOS!AM71</f>
        <v/>
      </c>
      <c r="FE13" s="110" t="str">
        <f ca="1">RESULTADOS!AN71</f>
        <v/>
      </c>
      <c r="FF13" s="110" t="str">
        <f ca="1">RESULTADOS!AO71</f>
        <v/>
      </c>
      <c r="FG13" s="110" t="str">
        <f ca="1">RESULTADOS!AP71</f>
        <v/>
      </c>
      <c r="FH13" s="110" t="str">
        <f ca="1">RESULTADOS!AQ71</f>
        <v/>
      </c>
      <c r="FI13" s="110" t="str">
        <f ca="1">RESULTADOS!AR71</f>
        <v/>
      </c>
      <c r="FJ13" s="110" t="str">
        <f ca="1">RESULTADOS!AS71</f>
        <v/>
      </c>
      <c r="FK13" s="110" t="str">
        <f ca="1">RESULTADOS!AT71</f>
        <v/>
      </c>
      <c r="FL13" s="110" t="str">
        <f ca="1">RESULTADOS!AU71</f>
        <v/>
      </c>
      <c r="FM13" s="110" t="str">
        <f ca="1">RESULTADOS!AV71</f>
        <v/>
      </c>
      <c r="FN13" s="110" t="str">
        <f ca="1">RESULTADOS!AW71</f>
        <v/>
      </c>
    </row>
    <row r="14" spans="1:170" ht="13">
      <c r="C14" s="108" t="s">
        <v>26</v>
      </c>
      <c r="D14" s="111">
        <f>'01.Definición de ámbito'!C35</f>
        <v>45443</v>
      </c>
      <c r="E14" s="108" t="s">
        <v>61</v>
      </c>
      <c r="F14" s="111" t="str">
        <f>'02.Tecnologías'!I11</f>
        <v>No</v>
      </c>
      <c r="G14" s="160"/>
      <c r="H14" s="160"/>
      <c r="I14" s="160"/>
      <c r="J14" s="160"/>
      <c r="K14" t="s">
        <v>474</v>
      </c>
      <c r="L14" s="163" t="str">
        <f ca="1">RESULTADOS!E9</f>
        <v>0 (0 %)</v>
      </c>
      <c r="M14" s="163" t="str">
        <f ca="1">RESULTADOS!F9</f>
        <v>0 (0 %)</v>
      </c>
      <c r="N14" s="163" t="str">
        <f ca="1">RESULTADOS!G9</f>
        <v>45 (100 %)</v>
      </c>
      <c r="O14" s="112">
        <f ca="1">RESULTADOS!H9</f>
        <v>0</v>
      </c>
      <c r="P14" s="112">
        <f ca="1">RESULTADOS!I9</f>
        <v>0</v>
      </c>
      <c r="T14" s="112">
        <f>RESULTADOS!B31</f>
        <v>12</v>
      </c>
      <c r="U14" s="112" t="str">
        <f>RESULTADOS!C31</f>
        <v>Huella</v>
      </c>
      <c r="V14" s="112" t="str">
        <f t="shared" si="0"/>
        <v>Página web</v>
      </c>
      <c r="W14" s="112" t="str">
        <v>Pagina tipo</v>
      </c>
      <c r="X14" s="112" t="str">
        <f>RESULTADOS!D31</f>
        <v>https://www.comunidad.madrid/transparencia/normativa-planificacion/huella-normativa</v>
      </c>
      <c r="Y14" s="112" t="str">
        <v>Transparencia - Normativa y planificación - Huella normativa</v>
      </c>
      <c r="Z14" s="187">
        <v>0</v>
      </c>
      <c r="AA14" s="110" t="str">
        <f ca="1">RESULTADOS!E31</f>
        <v>N/A</v>
      </c>
      <c r="AB14" s="110" t="str">
        <f ca="1">RESULTADOS!F31</f>
        <v>N/A</v>
      </c>
      <c r="AC14" s="110" t="str">
        <f ca="1">RESULTADOS!G31</f>
        <v>N/A</v>
      </c>
      <c r="AD14" s="110" t="str">
        <f ca="1">RESULTADOS!H31</f>
        <v>N/A</v>
      </c>
      <c r="AE14" s="110" t="str">
        <f ca="1">RESULTADOS!I31</f>
        <v>N/A</v>
      </c>
      <c r="AF14" s="110" t="str">
        <f ca="1">RESULTADOS!J31</f>
        <v>N/A</v>
      </c>
      <c r="AG14" s="110" t="str">
        <f ca="1">RESULTADOS!K31</f>
        <v>N/A</v>
      </c>
      <c r="AH14" s="110" t="str">
        <f ca="1">RESULTADOS!L31</f>
        <v>N/A</v>
      </c>
      <c r="AI14" s="110" t="str">
        <f ca="1">RESULTADOS!M31</f>
        <v>N/A</v>
      </c>
      <c r="AJ14" s="110" t="str">
        <f ca="1">RESULTADOS!N31</f>
        <v>N/A</v>
      </c>
      <c r="AK14" s="110" t="str">
        <f ca="1">RESULTADOS!O31</f>
        <v>N/A</v>
      </c>
      <c r="AL14" s="110" t="str">
        <f ca="1">RESULTADOS!P31</f>
        <v>N/A</v>
      </c>
      <c r="AM14" s="110" t="str">
        <f ca="1">RESULTADOS!Q31</f>
        <v>N/A</v>
      </c>
      <c r="AN14" s="110" t="str">
        <f ca="1">RESULTADOS!R31</f>
        <v>N/A</v>
      </c>
      <c r="AO14" s="110" t="str">
        <f ca="1">RESULTADOS!S31</f>
        <v>N/A</v>
      </c>
      <c r="AP14" s="110" t="str">
        <f ca="1">RESULTADOS!T31</f>
        <v>N/A</v>
      </c>
      <c r="AQ14" s="110" t="str">
        <f ca="1">RESULTADOS!U31</f>
        <v>N/A</v>
      </c>
      <c r="AR14" s="110" t="str">
        <f ca="1">RESULTADOS!V31</f>
        <v>N/A</v>
      </c>
      <c r="AS14" s="110" t="str">
        <f ca="1">RESULTADOS!W31</f>
        <v>N/A</v>
      </c>
      <c r="AT14" s="110" t="str">
        <f ca="1">RESULTADOS!X31</f>
        <v>N/A</v>
      </c>
      <c r="AU14" s="110" t="str">
        <f ca="1">RESULTADOS!Y31</f>
        <v>N/A</v>
      </c>
      <c r="AV14" s="110" t="str">
        <f ca="1">RESULTADOS!Z31</f>
        <v>N/A</v>
      </c>
      <c r="AW14" s="110" t="str">
        <f ca="1">RESULTADOS!AA31</f>
        <v>N/A</v>
      </c>
      <c r="AX14" s="110" t="str">
        <f ca="1">RESULTADOS!AB31</f>
        <v>N/A</v>
      </c>
      <c r="AY14" s="110" t="str">
        <f ca="1">RESULTADOS!AC31</f>
        <v>N/A</v>
      </c>
      <c r="AZ14" s="110" t="str">
        <f ca="1">RESULTADOS!AD31</f>
        <v>N/A</v>
      </c>
      <c r="BA14" s="110" t="str">
        <f ca="1">RESULTADOS!AE31</f>
        <v>N/A</v>
      </c>
      <c r="BB14" s="110" t="str">
        <f ca="1">RESULTADOS!AF31</f>
        <v>N/A</v>
      </c>
      <c r="BC14" s="110" t="str">
        <f ca="1">RESULTADOS!AG31</f>
        <v>N/A</v>
      </c>
      <c r="BD14" s="110" t="str">
        <f ca="1">RESULTADOS!AH31</f>
        <v>N/A</v>
      </c>
      <c r="BE14" s="110" t="str">
        <f ca="1">RESULTADOS!AI31</f>
        <v>N/A</v>
      </c>
      <c r="BF14" s="110" t="str">
        <f ca="1">RESULTADOS!AJ31</f>
        <v>Pasa</v>
      </c>
      <c r="BG14" s="110" t="str">
        <f ca="1">RESULTADOS!AK31</f>
        <v>N/A</v>
      </c>
      <c r="BH14" s="110" t="str">
        <f ca="1">RESULTADOS!AL31</f>
        <v>N/A</v>
      </c>
      <c r="BI14" s="110" t="str">
        <f ca="1">RESULTADOS!AM31</f>
        <v>N/A</v>
      </c>
      <c r="BJ14" s="110" t="str">
        <f ca="1">RESULTADOS!AN31</f>
        <v>N/A</v>
      </c>
      <c r="BK14" s="110" t="str">
        <f ca="1">RESULTADOS!AO31</f>
        <v>Pasa</v>
      </c>
      <c r="BL14" s="110" t="str">
        <f ca="1">RESULTADOS!AP31</f>
        <v>Falla</v>
      </c>
      <c r="BM14" s="110" t="str">
        <f ca="1">RESULTADOS!AQ31</f>
        <v>Falla</v>
      </c>
      <c r="BN14" s="110" t="str">
        <f ca="1">RESULTADOS!AR31</f>
        <v>Pasa</v>
      </c>
      <c r="BO14" s="110" t="str">
        <f ca="1">RESULTADOS!AS31</f>
        <v>N/A</v>
      </c>
      <c r="BP14" s="110" t="str">
        <f ca="1">RESULTADOS!AT31</f>
        <v>N/A</v>
      </c>
      <c r="BQ14" s="110" t="str">
        <f ca="1">RESULTADOS!AU31</f>
        <v>N/A</v>
      </c>
      <c r="BR14" s="110" t="str">
        <f ca="1">RESULTADOS!AV31</f>
        <v>Pasa</v>
      </c>
      <c r="BS14" s="110" t="str">
        <f ca="1">RESULTADOS!AW31</f>
        <v>Falla</v>
      </c>
      <c r="BT14" s="110" t="str">
        <f ca="1">RESULTADOS!AX31</f>
        <v>N/A</v>
      </c>
      <c r="BU14" s="110" t="str">
        <f ca="1">RESULTADOS!AY31</f>
        <v>Falla</v>
      </c>
      <c r="BV14" s="110" t="str">
        <f ca="1">RESULTADOS!AZ31</f>
        <v>Falla</v>
      </c>
      <c r="BW14" s="110" t="str">
        <f ca="1">RESULTADOS!BA31</f>
        <v>Pasa</v>
      </c>
      <c r="BX14" s="110" t="str">
        <f ca="1">RESULTADOS!BB31</f>
        <v>Falla</v>
      </c>
      <c r="BY14" s="110" t="str">
        <f ca="1">RESULTADOS!BC31</f>
        <v>Pasa</v>
      </c>
      <c r="BZ14" s="110" t="str">
        <f ca="1">RESULTADOS!BD31</f>
        <v>Pasa</v>
      </c>
      <c r="CA14" s="110" t="str">
        <f ca="1">RESULTADOS!BE31</f>
        <v>N/A</v>
      </c>
      <c r="CB14" s="110" t="str">
        <f ca="1">RESULTADOS!BF31</f>
        <v>N/A</v>
      </c>
      <c r="CC14" s="110" t="str">
        <f ca="1">RESULTADOS!BG31</f>
        <v>N/A</v>
      </c>
      <c r="CD14" s="110" t="str">
        <f ca="1">RESULTADOS!BH31</f>
        <v>N/A</v>
      </c>
      <c r="CE14" s="110" t="str">
        <f ca="1">RESULTADOS!BI31</f>
        <v>N/A</v>
      </c>
      <c r="CF14" s="110" t="str">
        <f ca="1">RESULTADOS!BJ31</f>
        <v>Pasa</v>
      </c>
      <c r="CG14" s="110" t="str">
        <f ca="1">RESULTADOS!BK31</f>
        <v>Pasa</v>
      </c>
      <c r="CH14" s="110" t="str">
        <f ca="1">RESULTADOS!BL31</f>
        <v>Pasa</v>
      </c>
      <c r="CI14" s="110" t="str">
        <f ca="1">RESULTADOS!BM31</f>
        <v>Pasa</v>
      </c>
      <c r="CJ14" s="110" t="str">
        <f ca="1">RESULTADOS!BN31</f>
        <v>Pasa</v>
      </c>
      <c r="CK14" s="110" t="str">
        <f ca="1">RESULTADOS!BO31</f>
        <v>Pasa</v>
      </c>
      <c r="CL14" s="110" t="str">
        <f ca="1">RESULTADOS!BP31</f>
        <v>N/A</v>
      </c>
      <c r="CM14" s="110" t="str">
        <f ca="1">RESULTADOS!BQ31</f>
        <v>N/A</v>
      </c>
      <c r="CN14" s="110" t="str">
        <f ca="1">RESULTADOS!BR31</f>
        <v>Pasa</v>
      </c>
      <c r="CO14" s="110" t="str">
        <f ca="1">RESULTADOS!BS31</f>
        <v>N/A</v>
      </c>
      <c r="CP14" s="110" t="str">
        <f ca="1">RESULTADOS!BT31</f>
        <v>Pasa</v>
      </c>
      <c r="CQ14" s="110" t="str">
        <f ca="1">RESULTADOS!BU31</f>
        <v>N/A</v>
      </c>
      <c r="CR14" s="110" t="str">
        <f ca="1">RESULTADOS!BV31</f>
        <v>Pasa</v>
      </c>
      <c r="CS14" s="110" t="str">
        <f ca="1">RESULTADOS!BW31</f>
        <v>Pasa</v>
      </c>
      <c r="CT14" s="110" t="str">
        <f ca="1">RESULTADOS!BX31</f>
        <v>Pasa</v>
      </c>
      <c r="CU14" s="110" t="str">
        <f ca="1">RESULTADOS!BY31</f>
        <v>Pasa</v>
      </c>
      <c r="CV14" s="110" t="str">
        <f ca="1">RESULTADOS!BZ31</f>
        <v>N/A</v>
      </c>
      <c r="CW14" s="110" t="str">
        <f ca="1">RESULTADOS!CA31</f>
        <v>Falla</v>
      </c>
      <c r="CX14" s="110" t="str">
        <f ca="1">RESULTADOS!CB31</f>
        <v>N/A</v>
      </c>
      <c r="CY14" s="110" t="str">
        <f ca="1">RESULTADOS!CC31</f>
        <v>N/A</v>
      </c>
      <c r="CZ14" s="110" t="str">
        <f ca="1">RESULTADOS!CD31</f>
        <v>Pasa</v>
      </c>
      <c r="DA14" s="110" t="str">
        <f ca="1">RESULTADOS!CE31</f>
        <v>Pasa</v>
      </c>
      <c r="DB14" s="110" t="str">
        <f ca="1">RESULTADOS!CF31</f>
        <v>N/A</v>
      </c>
      <c r="DC14" s="110" t="str">
        <f ca="1">RESULTADOS!CG31</f>
        <v>Falla</v>
      </c>
      <c r="DD14" s="110" t="str">
        <f ca="1">RESULTADOS!CH31</f>
        <v>N/A</v>
      </c>
      <c r="DE14" s="110" t="str">
        <f ca="1">RESULTADOS!CI31</f>
        <v>N/A</v>
      </c>
      <c r="DF14" s="110" t="str">
        <f ca="1">RESULTADOS!CJ31</f>
        <v>N/A</v>
      </c>
      <c r="DG14" s="110" t="str">
        <f ca="1">RESULTADOS!CK31</f>
        <v>N/A</v>
      </c>
      <c r="DH14" s="110" t="str">
        <f ca="1">RESULTADOS!CL31</f>
        <v>N/A</v>
      </c>
      <c r="DI14" s="110" t="str">
        <f ca="1">RESULTADOS!CM31</f>
        <v>N/A</v>
      </c>
      <c r="DJ14" s="110" t="str">
        <f ca="1">RESULTADOS!CN31</f>
        <v>Pasa</v>
      </c>
      <c r="DK14" s="110" t="str">
        <f ca="1">RESULTADOS!CO31</f>
        <v>Falla</v>
      </c>
      <c r="DL14" s="110" t="str">
        <f ca="1">RESULTADOS!CP31</f>
        <v>Falla</v>
      </c>
      <c r="DM14" s="110" t="str">
        <f ca="1">RESULTADOS!CQ31</f>
        <v>Pasa</v>
      </c>
      <c r="DN14" s="110" t="str">
        <f ca="1">RESULTADOS!CR31</f>
        <v>Falla</v>
      </c>
      <c r="DO14" s="112" t="str">
        <f>RESULTADOS!B72</f>
        <v/>
      </c>
      <c r="DP14" s="112" t="str">
        <f>RESULTADOS!C72</f>
        <v/>
      </c>
      <c r="DQ14" s="112" t="str">
        <f t="shared" si="1"/>
        <v/>
      </c>
      <c r="DR14" s="112" t="str" cm="1">
        <f t="array" ref="DR14">IFERROR(INDEX('03.Muestra'!$E$8:$E$42,SMALL(IF("Documento no web"='03.Muestra'!$D$8:$D$42,ROW('03.Muestra'!$E$8:$E$42)-MIN(ROW('03.Muestra'!$D$8:$D$42))+1,""),ROW()-2)),"")</f>
        <v/>
      </c>
      <c r="DS14" s="112" t="str">
        <f>RESULTADOS!D72</f>
        <v/>
      </c>
      <c r="DT14" s="112" t="str" cm="1">
        <f t="array" ref="DT14">IFERROR(INDEX('03.Muestra'!$G$8:$G$42,SMALL(IF("Documento no web"='03.Muestra'!$D$8:$D$42,ROW('03.Muestra'!$G$8:$G$42)-MIN(ROW('03.Muestra'!$D$8:$D$42))+1,""),ROW()-2)),"")</f>
        <v/>
      </c>
      <c r="DU14" s="187" t="str" cm="1">
        <f t="array" ref="DU14">IFERROR(INDEX('03.Muestra'!$H$8:$H$42,SMALL(IF("Documento no web"='03.Muestra'!$D$8:$D$42,ROW('03.Muestra'!$H$8:$H$42)-MIN(ROW('03.Muestra'!$D$8:$D$42))+1,""),ROW()-2)),"")</f>
        <v/>
      </c>
      <c r="DV14" s="110" t="str">
        <f ca="1">RESULTADOS!E72</f>
        <v/>
      </c>
      <c r="DW14" s="110" t="str">
        <f ca="1">RESULTADOS!F72</f>
        <v/>
      </c>
      <c r="DX14" s="110" t="str">
        <f ca="1">RESULTADOS!G72</f>
        <v/>
      </c>
      <c r="DY14" s="110" t="str">
        <f ca="1">RESULTADOS!H72</f>
        <v/>
      </c>
      <c r="DZ14" s="110" t="str">
        <f ca="1">RESULTADOS!I72</f>
        <v/>
      </c>
      <c r="EA14" s="110" t="str">
        <f ca="1">RESULTADOS!J72</f>
        <v/>
      </c>
      <c r="EB14" s="110" t="str">
        <f ca="1">RESULTADOS!K72</f>
        <v/>
      </c>
      <c r="EC14" s="110" t="str">
        <f ca="1">RESULTADOS!L72</f>
        <v/>
      </c>
      <c r="ED14" s="110" t="str">
        <f ca="1">RESULTADOS!M72</f>
        <v/>
      </c>
      <c r="EE14" s="110" t="str">
        <f ca="1">RESULTADOS!N72</f>
        <v/>
      </c>
      <c r="EF14" s="110" t="str">
        <f ca="1">RESULTADOS!O72</f>
        <v/>
      </c>
      <c r="EG14" s="110" t="str">
        <f ca="1">RESULTADOS!P72</f>
        <v/>
      </c>
      <c r="EH14" s="110" t="str">
        <f ca="1">RESULTADOS!Q72</f>
        <v/>
      </c>
      <c r="EI14" s="110" t="str">
        <f ca="1">RESULTADOS!R72</f>
        <v/>
      </c>
      <c r="EJ14" s="110" t="str">
        <f ca="1">RESULTADOS!S72</f>
        <v/>
      </c>
      <c r="EK14" s="110" t="str">
        <f ca="1">RESULTADOS!T72</f>
        <v/>
      </c>
      <c r="EL14" s="110" t="str">
        <f ca="1">RESULTADOS!U72</f>
        <v/>
      </c>
      <c r="EM14" s="110" t="str">
        <f ca="1">RESULTADOS!V72</f>
        <v/>
      </c>
      <c r="EN14" s="110" t="str">
        <f ca="1">RESULTADOS!W72</f>
        <v/>
      </c>
      <c r="EO14" s="110" t="str">
        <f ca="1">RESULTADOS!X72</f>
        <v/>
      </c>
      <c r="EP14" s="110" t="str">
        <f ca="1">RESULTADOS!Y72</f>
        <v/>
      </c>
      <c r="EQ14" s="110" t="str">
        <f ca="1">RESULTADOS!Z72</f>
        <v/>
      </c>
      <c r="ER14" s="110" t="str">
        <f ca="1">RESULTADOS!AA72</f>
        <v/>
      </c>
      <c r="ES14" s="110" t="str">
        <f ca="1">RESULTADOS!AB72</f>
        <v/>
      </c>
      <c r="ET14" s="110" t="str">
        <f ca="1">RESULTADOS!AC72</f>
        <v/>
      </c>
      <c r="EU14" s="110" t="str">
        <f ca="1">RESULTADOS!AD72</f>
        <v/>
      </c>
      <c r="EV14" s="110" t="str">
        <f ca="1">RESULTADOS!AE72</f>
        <v/>
      </c>
      <c r="EW14" s="110" t="str">
        <f ca="1">RESULTADOS!AF72</f>
        <v/>
      </c>
      <c r="EX14" s="110" t="str">
        <f ca="1">RESULTADOS!AG72</f>
        <v/>
      </c>
      <c r="EY14" s="110" t="str">
        <f ca="1">RESULTADOS!AH72</f>
        <v/>
      </c>
      <c r="EZ14" s="110" t="str">
        <f ca="1">RESULTADOS!AI72</f>
        <v/>
      </c>
      <c r="FA14" s="110" t="str">
        <f ca="1">RESULTADOS!AJ72</f>
        <v/>
      </c>
      <c r="FB14" s="110" t="str">
        <f ca="1">RESULTADOS!AK72</f>
        <v/>
      </c>
      <c r="FC14" s="110" t="str">
        <f ca="1">RESULTADOS!AL72</f>
        <v/>
      </c>
      <c r="FD14" s="110" t="str">
        <f ca="1">RESULTADOS!AM72</f>
        <v/>
      </c>
      <c r="FE14" s="110" t="str">
        <f ca="1">RESULTADOS!AN72</f>
        <v/>
      </c>
      <c r="FF14" s="110" t="str">
        <f ca="1">RESULTADOS!AO72</f>
        <v/>
      </c>
      <c r="FG14" s="110" t="str">
        <f ca="1">RESULTADOS!AP72</f>
        <v/>
      </c>
      <c r="FH14" s="110" t="str">
        <f ca="1">RESULTADOS!AQ72</f>
        <v/>
      </c>
      <c r="FI14" s="110" t="str">
        <f ca="1">RESULTADOS!AR72</f>
        <v/>
      </c>
      <c r="FJ14" s="110" t="str">
        <f ca="1">RESULTADOS!AS72</f>
        <v/>
      </c>
      <c r="FK14" s="110" t="str">
        <f ca="1">RESULTADOS!AT72</f>
        <v/>
      </c>
      <c r="FL14" s="110" t="str">
        <f ca="1">RESULTADOS!AU72</f>
        <v/>
      </c>
      <c r="FM14" s="110" t="str">
        <f ca="1">RESULTADOS!AV72</f>
        <v/>
      </c>
      <c r="FN14" s="110" t="str">
        <f ca="1">RESULTADOS!AW72</f>
        <v/>
      </c>
    </row>
    <row r="15" spans="1:170" ht="13">
      <c r="C15" s="108" t="s">
        <v>27</v>
      </c>
      <c r="D15" s="111" t="str">
        <f>'01.Definición de ámbito'!C39</f>
        <v>UNE-EN 301 549:2022 - excluyendo el contenido excluido por el RD 1112/2018</v>
      </c>
      <c r="E15" s="108" t="s">
        <v>64</v>
      </c>
      <c r="F15" s="111" t="str">
        <f>'02.Tecnologías'!I12</f>
        <v>No</v>
      </c>
      <c r="G15" s="160"/>
      <c r="H15" s="160"/>
      <c r="I15" s="160"/>
      <c r="J15" s="160"/>
      <c r="T15" s="112">
        <f>RESULTADOS!B32</f>
        <v>13</v>
      </c>
      <c r="U15" s="112" t="str">
        <f>RESULTADOS!C32</f>
        <v>Decreto</v>
      </c>
      <c r="V15" s="112" t="str">
        <f t="shared" si="0"/>
        <v>Página web</v>
      </c>
      <c r="W15" s="112" t="str">
        <v>Aleatoria</v>
      </c>
      <c r="X15" s="112" t="str">
        <f>RESULTADOS!D32</f>
        <v>https://www.comunidad.madrid/transparencia/decreto-del-consejo-gobierno-que-se-establece-estructura-organica-consejeria-familia-juventud-y</v>
      </c>
      <c r="Y15" s="112" t="str">
        <v>Transparencia - Normativa y planificación - Huella normativa - Decreto</v>
      </c>
      <c r="Z15" s="187">
        <v>0</v>
      </c>
      <c r="AA15" s="110" t="str">
        <f ca="1">RESULTADOS!E32</f>
        <v>N/A</v>
      </c>
      <c r="AB15" s="110" t="str">
        <f ca="1">RESULTADOS!F32</f>
        <v>N/A</v>
      </c>
      <c r="AC15" s="110" t="str">
        <f ca="1">RESULTADOS!G32</f>
        <v>N/A</v>
      </c>
      <c r="AD15" s="110" t="str">
        <f ca="1">RESULTADOS!H32</f>
        <v>N/A</v>
      </c>
      <c r="AE15" s="110" t="str">
        <f ca="1">RESULTADOS!I32</f>
        <v>N/A</v>
      </c>
      <c r="AF15" s="110" t="str">
        <f ca="1">RESULTADOS!J32</f>
        <v>N/A</v>
      </c>
      <c r="AG15" s="110" t="str">
        <f ca="1">RESULTADOS!K32</f>
        <v>N/A</v>
      </c>
      <c r="AH15" s="110" t="str">
        <f ca="1">RESULTADOS!L32</f>
        <v>N/A</v>
      </c>
      <c r="AI15" s="110" t="str">
        <f ca="1">RESULTADOS!M32</f>
        <v>N/A</v>
      </c>
      <c r="AJ15" s="110" t="str">
        <f ca="1">RESULTADOS!N32</f>
        <v>N/A</v>
      </c>
      <c r="AK15" s="110" t="str">
        <f ca="1">RESULTADOS!O32</f>
        <v>N/A</v>
      </c>
      <c r="AL15" s="110" t="str">
        <f ca="1">RESULTADOS!P32</f>
        <v>N/A</v>
      </c>
      <c r="AM15" s="110" t="str">
        <f ca="1">RESULTADOS!Q32</f>
        <v>N/A</v>
      </c>
      <c r="AN15" s="110" t="str">
        <f ca="1">RESULTADOS!R32</f>
        <v>N/A</v>
      </c>
      <c r="AO15" s="110" t="str">
        <f ca="1">RESULTADOS!S32</f>
        <v>N/A</v>
      </c>
      <c r="AP15" s="110" t="str">
        <f ca="1">RESULTADOS!T32</f>
        <v>N/A</v>
      </c>
      <c r="AQ15" s="110" t="str">
        <f ca="1">RESULTADOS!U32</f>
        <v>N/A</v>
      </c>
      <c r="AR15" s="110" t="str">
        <f ca="1">RESULTADOS!V32</f>
        <v>N/A</v>
      </c>
      <c r="AS15" s="110" t="str">
        <f ca="1">RESULTADOS!W32</f>
        <v>N/A</v>
      </c>
      <c r="AT15" s="110" t="str">
        <f ca="1">RESULTADOS!X32</f>
        <v>N/A</v>
      </c>
      <c r="AU15" s="110" t="str">
        <f ca="1">RESULTADOS!Y32</f>
        <v>N/A</v>
      </c>
      <c r="AV15" s="110" t="str">
        <f ca="1">RESULTADOS!Z32</f>
        <v>N/A</v>
      </c>
      <c r="AW15" s="110" t="str">
        <f ca="1">RESULTADOS!AA32</f>
        <v>N/A</v>
      </c>
      <c r="AX15" s="110" t="str">
        <f ca="1">RESULTADOS!AB32</f>
        <v>N/A</v>
      </c>
      <c r="AY15" s="110" t="str">
        <f ca="1">RESULTADOS!AC32</f>
        <v>N/A</v>
      </c>
      <c r="AZ15" s="110" t="str">
        <f ca="1">RESULTADOS!AD32</f>
        <v>N/A</v>
      </c>
      <c r="BA15" s="110" t="str">
        <f ca="1">RESULTADOS!AE32</f>
        <v>N/A</v>
      </c>
      <c r="BB15" s="110" t="str">
        <f ca="1">RESULTADOS!AF32</f>
        <v>N/A</v>
      </c>
      <c r="BC15" s="110" t="str">
        <f ca="1">RESULTADOS!AG32</f>
        <v>N/A</v>
      </c>
      <c r="BD15" s="110" t="str">
        <f ca="1">RESULTADOS!AH32</f>
        <v>N/A</v>
      </c>
      <c r="BE15" s="110" t="str">
        <f ca="1">RESULTADOS!AI32</f>
        <v>N/A</v>
      </c>
      <c r="BF15" s="110" t="str">
        <f ca="1">RESULTADOS!AJ32</f>
        <v>Pasa</v>
      </c>
      <c r="BG15" s="110" t="str">
        <f ca="1">RESULTADOS!AK32</f>
        <v>N/A</v>
      </c>
      <c r="BH15" s="110" t="str">
        <f ca="1">RESULTADOS!AL32</f>
        <v>N/A</v>
      </c>
      <c r="BI15" s="110" t="str">
        <f ca="1">RESULTADOS!AM32</f>
        <v>N/A</v>
      </c>
      <c r="BJ15" s="110" t="str">
        <f ca="1">RESULTADOS!AN32</f>
        <v>N/A</v>
      </c>
      <c r="BK15" s="110" t="str">
        <f ca="1">RESULTADOS!AO32</f>
        <v>Pasa</v>
      </c>
      <c r="BL15" s="110" t="str">
        <f ca="1">RESULTADOS!AP32</f>
        <v>Falla</v>
      </c>
      <c r="BM15" s="110" t="str">
        <f ca="1">RESULTADOS!AQ32</f>
        <v>Falla</v>
      </c>
      <c r="BN15" s="110" t="str">
        <f ca="1">RESULTADOS!AR32</f>
        <v>Pasa</v>
      </c>
      <c r="BO15" s="110" t="str">
        <f ca="1">RESULTADOS!AS32</f>
        <v>N/A</v>
      </c>
      <c r="BP15" s="110" t="str">
        <f ca="1">RESULTADOS!AT32</f>
        <v>N/A</v>
      </c>
      <c r="BQ15" s="110" t="str">
        <f ca="1">RESULTADOS!AU32</f>
        <v>N/A</v>
      </c>
      <c r="BR15" s="110" t="str">
        <f ca="1">RESULTADOS!AV32</f>
        <v>Pasa</v>
      </c>
      <c r="BS15" s="110" t="str">
        <f ca="1">RESULTADOS!AW32</f>
        <v>Falla</v>
      </c>
      <c r="BT15" s="110" t="str">
        <f ca="1">RESULTADOS!AX32</f>
        <v>N/A</v>
      </c>
      <c r="BU15" s="110" t="str">
        <f ca="1">RESULTADOS!AY32</f>
        <v>Falla</v>
      </c>
      <c r="BV15" s="110" t="str">
        <f ca="1">RESULTADOS!AZ32</f>
        <v>Falla</v>
      </c>
      <c r="BW15" s="110" t="str">
        <f ca="1">RESULTADOS!BA32</f>
        <v>Pasa</v>
      </c>
      <c r="BX15" s="110" t="str">
        <f ca="1">RESULTADOS!BB32</f>
        <v>Falla</v>
      </c>
      <c r="BY15" s="110" t="str">
        <f ca="1">RESULTADOS!BC32</f>
        <v>Pasa</v>
      </c>
      <c r="BZ15" s="110" t="str">
        <f ca="1">RESULTADOS!BD32</f>
        <v>Pasa</v>
      </c>
      <c r="CA15" s="110" t="str">
        <f ca="1">RESULTADOS!BE32</f>
        <v>N/A</v>
      </c>
      <c r="CB15" s="110" t="str">
        <f ca="1">RESULTADOS!BF32</f>
        <v>N/A</v>
      </c>
      <c r="CC15" s="110" t="str">
        <f ca="1">RESULTADOS!BG32</f>
        <v>N/A</v>
      </c>
      <c r="CD15" s="110" t="str">
        <f ca="1">RESULTADOS!BH32</f>
        <v>N/A</v>
      </c>
      <c r="CE15" s="110" t="str">
        <f ca="1">RESULTADOS!BI32</f>
        <v>N/A</v>
      </c>
      <c r="CF15" s="110" t="str">
        <f ca="1">RESULTADOS!BJ32</f>
        <v>Pasa</v>
      </c>
      <c r="CG15" s="110" t="str">
        <f ca="1">RESULTADOS!BK32</f>
        <v>Pasa</v>
      </c>
      <c r="CH15" s="110" t="str">
        <f ca="1">RESULTADOS!BL32</f>
        <v>Pasa</v>
      </c>
      <c r="CI15" s="110" t="str">
        <f ca="1">RESULTADOS!BM32</f>
        <v>Pasa</v>
      </c>
      <c r="CJ15" s="110" t="str">
        <f ca="1">RESULTADOS!BN32</f>
        <v>Pasa</v>
      </c>
      <c r="CK15" s="110" t="str">
        <f ca="1">RESULTADOS!BO32</f>
        <v>Pasa</v>
      </c>
      <c r="CL15" s="110" t="str">
        <f ca="1">RESULTADOS!BP32</f>
        <v>N/A</v>
      </c>
      <c r="CM15" s="110" t="str">
        <f ca="1">RESULTADOS!BQ32</f>
        <v>N/A</v>
      </c>
      <c r="CN15" s="110" t="str">
        <f ca="1">RESULTADOS!BR32</f>
        <v>Pasa</v>
      </c>
      <c r="CO15" s="110" t="str">
        <f ca="1">RESULTADOS!BS32</f>
        <v>N/A</v>
      </c>
      <c r="CP15" s="110" t="str">
        <f ca="1">RESULTADOS!BT32</f>
        <v>Pasa</v>
      </c>
      <c r="CQ15" s="110" t="str">
        <f ca="1">RESULTADOS!BU32</f>
        <v>N/A</v>
      </c>
      <c r="CR15" s="110" t="str">
        <f ca="1">RESULTADOS!BV32</f>
        <v>Pasa</v>
      </c>
      <c r="CS15" s="110" t="str">
        <f ca="1">RESULTADOS!BW32</f>
        <v>Pasa</v>
      </c>
      <c r="CT15" s="110" t="str">
        <f ca="1">RESULTADOS!BX32</f>
        <v>Pasa</v>
      </c>
      <c r="CU15" s="110" t="str">
        <f ca="1">RESULTADOS!BY32</f>
        <v>Pasa</v>
      </c>
      <c r="CV15" s="110" t="str">
        <f ca="1">RESULTADOS!BZ32</f>
        <v>N/A</v>
      </c>
      <c r="CW15" s="110" t="str">
        <f ca="1">RESULTADOS!CA32</f>
        <v>Falla</v>
      </c>
      <c r="CX15" s="110" t="str">
        <f ca="1">RESULTADOS!CB32</f>
        <v>N/A</v>
      </c>
      <c r="CY15" s="110" t="str">
        <f ca="1">RESULTADOS!CC32</f>
        <v>N/A</v>
      </c>
      <c r="CZ15" s="110" t="str">
        <f ca="1">RESULTADOS!CD32</f>
        <v>Pasa</v>
      </c>
      <c r="DA15" s="110" t="str">
        <f ca="1">RESULTADOS!CE32</f>
        <v>Pasa</v>
      </c>
      <c r="DB15" s="110" t="str">
        <f ca="1">RESULTADOS!CF32</f>
        <v>N/A</v>
      </c>
      <c r="DC15" s="110" t="str">
        <f ca="1">RESULTADOS!CG32</f>
        <v>Falla</v>
      </c>
      <c r="DD15" s="110" t="str">
        <f ca="1">RESULTADOS!CH32</f>
        <v>N/A</v>
      </c>
      <c r="DE15" s="110" t="str">
        <f ca="1">RESULTADOS!CI32</f>
        <v>N/A</v>
      </c>
      <c r="DF15" s="110" t="str">
        <f ca="1">RESULTADOS!CJ32</f>
        <v>N/A</v>
      </c>
      <c r="DG15" s="110" t="str">
        <f ca="1">RESULTADOS!CK32</f>
        <v>N/A</v>
      </c>
      <c r="DH15" s="110" t="str">
        <f ca="1">RESULTADOS!CL32</f>
        <v>N/A</v>
      </c>
      <c r="DI15" s="110" t="str">
        <f ca="1">RESULTADOS!CM32</f>
        <v>N/A</v>
      </c>
      <c r="DJ15" s="110" t="str">
        <f ca="1">RESULTADOS!CN32</f>
        <v>Pasa</v>
      </c>
      <c r="DK15" s="110" t="str">
        <f ca="1">RESULTADOS!CO32</f>
        <v>Falla</v>
      </c>
      <c r="DL15" s="110" t="str">
        <f ca="1">RESULTADOS!CP32</f>
        <v>Falla</v>
      </c>
      <c r="DM15" s="110" t="str">
        <f ca="1">RESULTADOS!CQ32</f>
        <v>Pasa</v>
      </c>
      <c r="DN15" s="110" t="str">
        <f ca="1">RESULTADOS!CR32</f>
        <v>Falla</v>
      </c>
      <c r="DO15" s="112" t="str">
        <f>RESULTADOS!B73</f>
        <v/>
      </c>
      <c r="DP15" s="112" t="str">
        <f>RESULTADOS!C73</f>
        <v/>
      </c>
      <c r="DQ15" s="112" t="str">
        <f t="shared" si="1"/>
        <v/>
      </c>
      <c r="DR15" s="112" t="str" cm="1">
        <f t="array" ref="DR15">IFERROR(INDEX('03.Muestra'!$E$8:$E$42,SMALL(IF("Documento no web"='03.Muestra'!$D$8:$D$42,ROW('03.Muestra'!$E$8:$E$42)-MIN(ROW('03.Muestra'!$D$8:$D$42))+1,""),ROW()-2)),"")</f>
        <v/>
      </c>
      <c r="DS15" s="112" t="str">
        <f>RESULTADOS!D73</f>
        <v/>
      </c>
      <c r="DT15" s="112" t="str" cm="1">
        <f t="array" ref="DT15">IFERROR(INDEX('03.Muestra'!$G$8:$G$42,SMALL(IF("Documento no web"='03.Muestra'!$D$8:$D$42,ROW('03.Muestra'!$G$8:$G$42)-MIN(ROW('03.Muestra'!$D$8:$D$42))+1,""),ROW()-2)),"")</f>
        <v/>
      </c>
      <c r="DU15" s="187" t="str" cm="1">
        <f t="array" ref="DU15">IFERROR(INDEX('03.Muestra'!$H$8:$H$42,SMALL(IF("Documento no web"='03.Muestra'!$D$8:$D$42,ROW('03.Muestra'!$H$8:$H$42)-MIN(ROW('03.Muestra'!$D$8:$D$42))+1,""),ROW()-2)),"")</f>
        <v/>
      </c>
      <c r="DV15" s="110" t="str">
        <f ca="1">RESULTADOS!E73</f>
        <v/>
      </c>
      <c r="DW15" s="110" t="str">
        <f ca="1">RESULTADOS!F73</f>
        <v/>
      </c>
      <c r="DX15" s="110" t="str">
        <f ca="1">RESULTADOS!G73</f>
        <v/>
      </c>
      <c r="DY15" s="110" t="str">
        <f ca="1">RESULTADOS!H73</f>
        <v/>
      </c>
      <c r="DZ15" s="110" t="str">
        <f ca="1">RESULTADOS!I73</f>
        <v/>
      </c>
      <c r="EA15" s="110" t="str">
        <f ca="1">RESULTADOS!J73</f>
        <v/>
      </c>
      <c r="EB15" s="110" t="str">
        <f ca="1">RESULTADOS!K73</f>
        <v/>
      </c>
      <c r="EC15" s="110" t="str">
        <f ca="1">RESULTADOS!L73</f>
        <v/>
      </c>
      <c r="ED15" s="110" t="str">
        <f ca="1">RESULTADOS!M73</f>
        <v/>
      </c>
      <c r="EE15" s="110" t="str">
        <f ca="1">RESULTADOS!N73</f>
        <v/>
      </c>
      <c r="EF15" s="110" t="str">
        <f ca="1">RESULTADOS!O73</f>
        <v/>
      </c>
      <c r="EG15" s="110" t="str">
        <f ca="1">RESULTADOS!P73</f>
        <v/>
      </c>
      <c r="EH15" s="110" t="str">
        <f ca="1">RESULTADOS!Q73</f>
        <v/>
      </c>
      <c r="EI15" s="110" t="str">
        <f ca="1">RESULTADOS!R73</f>
        <v/>
      </c>
      <c r="EJ15" s="110" t="str">
        <f ca="1">RESULTADOS!S73</f>
        <v/>
      </c>
      <c r="EK15" s="110" t="str">
        <f ca="1">RESULTADOS!T73</f>
        <v/>
      </c>
      <c r="EL15" s="110" t="str">
        <f ca="1">RESULTADOS!U73</f>
        <v/>
      </c>
      <c r="EM15" s="110" t="str">
        <f ca="1">RESULTADOS!V73</f>
        <v/>
      </c>
      <c r="EN15" s="110" t="str">
        <f ca="1">RESULTADOS!W73</f>
        <v/>
      </c>
      <c r="EO15" s="110" t="str">
        <f ca="1">RESULTADOS!X73</f>
        <v/>
      </c>
      <c r="EP15" s="110" t="str">
        <f ca="1">RESULTADOS!Y73</f>
        <v/>
      </c>
      <c r="EQ15" s="110" t="str">
        <f ca="1">RESULTADOS!Z73</f>
        <v/>
      </c>
      <c r="ER15" s="110" t="str">
        <f ca="1">RESULTADOS!AA73</f>
        <v/>
      </c>
      <c r="ES15" s="110" t="str">
        <f ca="1">RESULTADOS!AB73</f>
        <v/>
      </c>
      <c r="ET15" s="110" t="str">
        <f ca="1">RESULTADOS!AC73</f>
        <v/>
      </c>
      <c r="EU15" s="110" t="str">
        <f ca="1">RESULTADOS!AD73</f>
        <v/>
      </c>
      <c r="EV15" s="110" t="str">
        <f ca="1">RESULTADOS!AE73</f>
        <v/>
      </c>
      <c r="EW15" s="110" t="str">
        <f ca="1">RESULTADOS!AF73</f>
        <v/>
      </c>
      <c r="EX15" s="110" t="str">
        <f ca="1">RESULTADOS!AG73</f>
        <v/>
      </c>
      <c r="EY15" s="110" t="str">
        <f ca="1">RESULTADOS!AH73</f>
        <v/>
      </c>
      <c r="EZ15" s="110" t="str">
        <f ca="1">RESULTADOS!AI73</f>
        <v/>
      </c>
      <c r="FA15" s="110" t="str">
        <f ca="1">RESULTADOS!AJ73</f>
        <v/>
      </c>
      <c r="FB15" s="110" t="str">
        <f ca="1">RESULTADOS!AK73</f>
        <v/>
      </c>
      <c r="FC15" s="110" t="str">
        <f ca="1">RESULTADOS!AL73</f>
        <v/>
      </c>
      <c r="FD15" s="110" t="str">
        <f ca="1">RESULTADOS!AM73</f>
        <v/>
      </c>
      <c r="FE15" s="110" t="str">
        <f ca="1">RESULTADOS!AN73</f>
        <v/>
      </c>
      <c r="FF15" s="110" t="str">
        <f ca="1">RESULTADOS!AO73</f>
        <v/>
      </c>
      <c r="FG15" s="110" t="str">
        <f ca="1">RESULTADOS!AP73</f>
        <v/>
      </c>
      <c r="FH15" s="110" t="str">
        <f ca="1">RESULTADOS!AQ73</f>
        <v/>
      </c>
      <c r="FI15" s="110" t="str">
        <f ca="1">RESULTADOS!AR73</f>
        <v/>
      </c>
      <c r="FJ15" s="110" t="str">
        <f ca="1">RESULTADOS!AS73</f>
        <v/>
      </c>
      <c r="FK15" s="110" t="str">
        <f ca="1">RESULTADOS!AT73</f>
        <v/>
      </c>
      <c r="FL15" s="110" t="str">
        <f ca="1">RESULTADOS!AU73</f>
        <v/>
      </c>
      <c r="FM15" s="110" t="str">
        <f ca="1">RESULTADOS!AV73</f>
        <v/>
      </c>
      <c r="FN15" s="110" t="str">
        <f ca="1">RESULTADOS!AW73</f>
        <v/>
      </c>
    </row>
    <row r="16" spans="1:170" ht="13">
      <c r="C16" s="108" t="s">
        <v>29</v>
      </c>
      <c r="D16" s="111" t="str">
        <f>'01.Definición de ámbito'!C41</f>
        <v>Equipo: Intel(R) Core(TM) i5-1145G7 CPU @ 2.60GHz   2611 MHz, 
RAM: 16,0 GB
Sistema Operativo: Windows 11 Enterprise
Navegador: Google Chrome Versión 114.0.5735.199
Herramientas utilizadas: Tawdis, LightHouse, Wave, Color Contrast Analyzer, Headings map, Screen reader, https://validator.w3.org/nu/</v>
      </c>
      <c r="F16" s="160"/>
      <c r="G16" s="160"/>
      <c r="H16" s="160"/>
      <c r="I16" s="160"/>
      <c r="J16" s="160"/>
      <c r="T16" s="112">
        <f>RESULTADOS!B33</f>
        <v>14</v>
      </c>
      <c r="U16" s="112" t="str">
        <f>RESULTADOS!C33</f>
        <v>Entidades Locales</v>
      </c>
      <c r="V16" s="112" t="str">
        <f t="shared" si="0"/>
        <v>Página web</v>
      </c>
      <c r="W16" s="112" t="str">
        <v>Pagina tipo</v>
      </c>
      <c r="X16" s="112" t="str">
        <f>RESULTADOS!D33</f>
        <v>https://www.comunidad.madrid/transparencia/entidades-locales</v>
      </c>
      <c r="Y16" s="112" t="str">
        <v>Transparencia - territorio y transparencia - Entidades locales</v>
      </c>
      <c r="Z16" s="187">
        <v>0</v>
      </c>
      <c r="AA16" s="110" t="str">
        <f ca="1">RESULTADOS!E33</f>
        <v>N/A</v>
      </c>
      <c r="AB16" s="110" t="str">
        <f ca="1">RESULTADOS!F33</f>
        <v>N/A</v>
      </c>
      <c r="AC16" s="110" t="str">
        <f ca="1">RESULTADOS!G33</f>
        <v>N/A</v>
      </c>
      <c r="AD16" s="110" t="str">
        <f ca="1">RESULTADOS!H33</f>
        <v>N/A</v>
      </c>
      <c r="AE16" s="110" t="str">
        <f ca="1">RESULTADOS!I33</f>
        <v>N/A</v>
      </c>
      <c r="AF16" s="110" t="str">
        <f ca="1">RESULTADOS!J33</f>
        <v>N/A</v>
      </c>
      <c r="AG16" s="110" t="str">
        <f ca="1">RESULTADOS!K33</f>
        <v>N/A</v>
      </c>
      <c r="AH16" s="110" t="str">
        <f ca="1">RESULTADOS!L33</f>
        <v>N/A</v>
      </c>
      <c r="AI16" s="110" t="str">
        <f ca="1">RESULTADOS!M33</f>
        <v>N/A</v>
      </c>
      <c r="AJ16" s="110" t="str">
        <f ca="1">RESULTADOS!N33</f>
        <v>N/A</v>
      </c>
      <c r="AK16" s="110" t="str">
        <f ca="1">RESULTADOS!O33</f>
        <v>N/A</v>
      </c>
      <c r="AL16" s="110" t="str">
        <f ca="1">RESULTADOS!P33</f>
        <v>N/A</v>
      </c>
      <c r="AM16" s="110" t="str">
        <f ca="1">RESULTADOS!Q33</f>
        <v>N/A</v>
      </c>
      <c r="AN16" s="110" t="str">
        <f ca="1">RESULTADOS!R33</f>
        <v>N/A</v>
      </c>
      <c r="AO16" s="110" t="str">
        <f ca="1">RESULTADOS!S33</f>
        <v>N/A</v>
      </c>
      <c r="AP16" s="110" t="str">
        <f ca="1">RESULTADOS!T33</f>
        <v>N/A</v>
      </c>
      <c r="AQ16" s="110" t="str">
        <f ca="1">RESULTADOS!U33</f>
        <v>N/A</v>
      </c>
      <c r="AR16" s="110" t="str">
        <f ca="1">RESULTADOS!V33</f>
        <v>N/A</v>
      </c>
      <c r="AS16" s="110" t="str">
        <f ca="1">RESULTADOS!W33</f>
        <v>N/A</v>
      </c>
      <c r="AT16" s="110" t="str">
        <f ca="1">RESULTADOS!X33</f>
        <v>N/A</v>
      </c>
      <c r="AU16" s="110" t="str">
        <f ca="1">RESULTADOS!Y33</f>
        <v>N/A</v>
      </c>
      <c r="AV16" s="110" t="str">
        <f ca="1">RESULTADOS!Z33</f>
        <v>N/A</v>
      </c>
      <c r="AW16" s="110" t="str">
        <f ca="1">RESULTADOS!AA33</f>
        <v>N/A</v>
      </c>
      <c r="AX16" s="110" t="str">
        <f ca="1">RESULTADOS!AB33</f>
        <v>N/A</v>
      </c>
      <c r="AY16" s="110" t="str">
        <f ca="1">RESULTADOS!AC33</f>
        <v>N/A</v>
      </c>
      <c r="AZ16" s="110" t="str">
        <f ca="1">RESULTADOS!AD33</f>
        <v>N/A</v>
      </c>
      <c r="BA16" s="110" t="str">
        <f ca="1">RESULTADOS!AE33</f>
        <v>N/A</v>
      </c>
      <c r="BB16" s="110" t="str">
        <f ca="1">RESULTADOS!AF33</f>
        <v>N/A</v>
      </c>
      <c r="BC16" s="110" t="str">
        <f ca="1">RESULTADOS!AG33</f>
        <v>N/A</v>
      </c>
      <c r="BD16" s="110" t="str">
        <f ca="1">RESULTADOS!AH33</f>
        <v>N/A</v>
      </c>
      <c r="BE16" s="110" t="str">
        <f ca="1">RESULTADOS!AI33</f>
        <v>N/A</v>
      </c>
      <c r="BF16" s="110" t="str">
        <f ca="1">RESULTADOS!AJ33</f>
        <v>Pasa</v>
      </c>
      <c r="BG16" s="110" t="str">
        <f ca="1">RESULTADOS!AK33</f>
        <v>N/A</v>
      </c>
      <c r="BH16" s="110" t="str">
        <f ca="1">RESULTADOS!AL33</f>
        <v>N/A</v>
      </c>
      <c r="BI16" s="110" t="str">
        <f ca="1">RESULTADOS!AM33</f>
        <v>N/A</v>
      </c>
      <c r="BJ16" s="110" t="str">
        <f ca="1">RESULTADOS!AN33</f>
        <v>N/A</v>
      </c>
      <c r="BK16" s="110" t="str">
        <f ca="1">RESULTADOS!AO33</f>
        <v>Pasa</v>
      </c>
      <c r="BL16" s="110" t="str">
        <f ca="1">RESULTADOS!AP33</f>
        <v>Falla</v>
      </c>
      <c r="BM16" s="110" t="str">
        <f ca="1">RESULTADOS!AQ33</f>
        <v>Falla</v>
      </c>
      <c r="BN16" s="110" t="str">
        <f ca="1">RESULTADOS!AR33</f>
        <v>Pasa</v>
      </c>
      <c r="BO16" s="110" t="str">
        <f ca="1">RESULTADOS!AS33</f>
        <v>N/A</v>
      </c>
      <c r="BP16" s="110" t="str">
        <f ca="1">RESULTADOS!AT33</f>
        <v>N/A</v>
      </c>
      <c r="BQ16" s="110" t="str">
        <f ca="1">RESULTADOS!AU33</f>
        <v>N/A</v>
      </c>
      <c r="BR16" s="110" t="str">
        <f ca="1">RESULTADOS!AV33</f>
        <v>Pasa</v>
      </c>
      <c r="BS16" s="110" t="str">
        <f ca="1">RESULTADOS!AW33</f>
        <v>Falla</v>
      </c>
      <c r="BT16" s="110" t="str">
        <f ca="1">RESULTADOS!AX33</f>
        <v>N/A</v>
      </c>
      <c r="BU16" s="110" t="str">
        <f ca="1">RESULTADOS!AY33</f>
        <v>Falla</v>
      </c>
      <c r="BV16" s="110" t="str">
        <f ca="1">RESULTADOS!AZ33</f>
        <v>Falla</v>
      </c>
      <c r="BW16" s="110" t="str">
        <f ca="1">RESULTADOS!BA33</f>
        <v>Pasa</v>
      </c>
      <c r="BX16" s="110" t="str">
        <f ca="1">RESULTADOS!BB33</f>
        <v>Falla</v>
      </c>
      <c r="BY16" s="110" t="str">
        <f ca="1">RESULTADOS!BC33</f>
        <v>Pasa</v>
      </c>
      <c r="BZ16" s="110" t="str">
        <f ca="1">RESULTADOS!BD33</f>
        <v>Pasa</v>
      </c>
      <c r="CA16" s="110" t="str">
        <f ca="1">RESULTADOS!BE33</f>
        <v>N/A</v>
      </c>
      <c r="CB16" s="110" t="str">
        <f ca="1">RESULTADOS!BF33</f>
        <v>N/A</v>
      </c>
      <c r="CC16" s="110" t="str">
        <f ca="1">RESULTADOS!BG33</f>
        <v>N/A</v>
      </c>
      <c r="CD16" s="110" t="str">
        <f ca="1">RESULTADOS!BH33</f>
        <v>N/A</v>
      </c>
      <c r="CE16" s="110" t="str">
        <f ca="1">RESULTADOS!BI33</f>
        <v>N/A</v>
      </c>
      <c r="CF16" s="110" t="str">
        <f ca="1">RESULTADOS!BJ33</f>
        <v>Pasa</v>
      </c>
      <c r="CG16" s="110" t="str">
        <f ca="1">RESULTADOS!BK33</f>
        <v>Pasa</v>
      </c>
      <c r="CH16" s="110" t="str">
        <f ca="1">RESULTADOS!BL33</f>
        <v>Pasa</v>
      </c>
      <c r="CI16" s="110" t="str">
        <f ca="1">RESULTADOS!BM33</f>
        <v>Pasa</v>
      </c>
      <c r="CJ16" s="110" t="str">
        <f ca="1">RESULTADOS!BN33</f>
        <v>Pasa</v>
      </c>
      <c r="CK16" s="110" t="str">
        <f ca="1">RESULTADOS!BO33</f>
        <v>Pasa</v>
      </c>
      <c r="CL16" s="110" t="str">
        <f ca="1">RESULTADOS!BP33</f>
        <v>N/A</v>
      </c>
      <c r="CM16" s="110" t="str">
        <f ca="1">RESULTADOS!BQ33</f>
        <v>N/A</v>
      </c>
      <c r="CN16" s="110" t="str">
        <f ca="1">RESULTADOS!BR33</f>
        <v>Pasa</v>
      </c>
      <c r="CO16" s="110" t="str">
        <f ca="1">RESULTADOS!BS33</f>
        <v>N/A</v>
      </c>
      <c r="CP16" s="110" t="str">
        <f ca="1">RESULTADOS!BT33</f>
        <v>Pasa</v>
      </c>
      <c r="CQ16" s="110" t="str">
        <f ca="1">RESULTADOS!BU33</f>
        <v>N/A</v>
      </c>
      <c r="CR16" s="110" t="str">
        <f ca="1">RESULTADOS!BV33</f>
        <v>Pasa</v>
      </c>
      <c r="CS16" s="110" t="str">
        <f ca="1">RESULTADOS!BW33</f>
        <v>Pasa</v>
      </c>
      <c r="CT16" s="110" t="str">
        <f ca="1">RESULTADOS!BX33</f>
        <v>Pasa</v>
      </c>
      <c r="CU16" s="110" t="str">
        <f ca="1">RESULTADOS!BY33</f>
        <v>Pasa</v>
      </c>
      <c r="CV16" s="110" t="str">
        <f ca="1">RESULTADOS!BZ33</f>
        <v>N/A</v>
      </c>
      <c r="CW16" s="110" t="str">
        <f ca="1">RESULTADOS!CA33</f>
        <v>Falla</v>
      </c>
      <c r="CX16" s="110" t="str">
        <f ca="1">RESULTADOS!CB33</f>
        <v>N/A</v>
      </c>
      <c r="CY16" s="110" t="str">
        <f ca="1">RESULTADOS!CC33</f>
        <v>N/A</v>
      </c>
      <c r="CZ16" s="110" t="str">
        <f ca="1">RESULTADOS!CD33</f>
        <v>Pasa</v>
      </c>
      <c r="DA16" s="110" t="str">
        <f ca="1">RESULTADOS!CE33</f>
        <v>Pasa</v>
      </c>
      <c r="DB16" s="110" t="str">
        <f ca="1">RESULTADOS!CF33</f>
        <v>N/A</v>
      </c>
      <c r="DC16" s="110" t="str">
        <f ca="1">RESULTADOS!CG33</f>
        <v>Falla</v>
      </c>
      <c r="DD16" s="110" t="str">
        <f ca="1">RESULTADOS!CH33</f>
        <v>N/A</v>
      </c>
      <c r="DE16" s="110" t="str">
        <f ca="1">RESULTADOS!CI33</f>
        <v>N/A</v>
      </c>
      <c r="DF16" s="110" t="str">
        <f ca="1">RESULTADOS!CJ33</f>
        <v>N/A</v>
      </c>
      <c r="DG16" s="110" t="str">
        <f ca="1">RESULTADOS!CK33</f>
        <v>N/A</v>
      </c>
      <c r="DH16" s="110" t="str">
        <f ca="1">RESULTADOS!CL33</f>
        <v>N/A</v>
      </c>
      <c r="DI16" s="110" t="str">
        <f ca="1">RESULTADOS!CM33</f>
        <v>N/A</v>
      </c>
      <c r="DJ16" s="110" t="str">
        <f ca="1">RESULTADOS!CN33</f>
        <v>Pasa</v>
      </c>
      <c r="DK16" s="110" t="str">
        <f ca="1">RESULTADOS!CO33</f>
        <v>Falla</v>
      </c>
      <c r="DL16" s="110" t="str">
        <f ca="1">RESULTADOS!CP33</f>
        <v>Falla</v>
      </c>
      <c r="DM16" s="110" t="str">
        <f ca="1">RESULTADOS!CQ33</f>
        <v>Pasa</v>
      </c>
      <c r="DN16" s="110" t="str">
        <f ca="1">RESULTADOS!CR33</f>
        <v>Falla</v>
      </c>
      <c r="DO16" s="112" t="str">
        <f>RESULTADOS!B74</f>
        <v/>
      </c>
      <c r="DP16" s="112" t="str">
        <f>RESULTADOS!C74</f>
        <v/>
      </c>
      <c r="DQ16" s="112" t="str">
        <f t="shared" si="1"/>
        <v/>
      </c>
      <c r="DR16" s="112" t="str" cm="1">
        <f t="array" ref="DR16">IFERROR(INDEX('03.Muestra'!$E$8:$E$42,SMALL(IF("Documento no web"='03.Muestra'!$D$8:$D$42,ROW('03.Muestra'!$E$8:$E$42)-MIN(ROW('03.Muestra'!$D$8:$D$42))+1,""),ROW()-2)),"")</f>
        <v/>
      </c>
      <c r="DS16" s="112" t="str">
        <f>RESULTADOS!D74</f>
        <v/>
      </c>
      <c r="DT16" s="112" t="str" cm="1">
        <f t="array" ref="DT16">IFERROR(INDEX('03.Muestra'!$G$8:$G$42,SMALL(IF("Documento no web"='03.Muestra'!$D$8:$D$42,ROW('03.Muestra'!$G$8:$G$42)-MIN(ROW('03.Muestra'!$D$8:$D$42))+1,""),ROW()-2)),"")</f>
        <v/>
      </c>
      <c r="DU16" s="187" t="str" cm="1">
        <f t="array" ref="DU16">IFERROR(INDEX('03.Muestra'!$H$8:$H$42,SMALL(IF("Documento no web"='03.Muestra'!$D$8:$D$42,ROW('03.Muestra'!$H$8:$H$42)-MIN(ROW('03.Muestra'!$D$8:$D$42))+1,""),ROW()-2)),"")</f>
        <v/>
      </c>
      <c r="DV16" s="110" t="str">
        <f ca="1">RESULTADOS!E74</f>
        <v/>
      </c>
      <c r="DW16" s="110" t="str">
        <f ca="1">RESULTADOS!F74</f>
        <v/>
      </c>
      <c r="DX16" s="110" t="str">
        <f ca="1">RESULTADOS!G74</f>
        <v/>
      </c>
      <c r="DY16" s="110" t="str">
        <f ca="1">RESULTADOS!H74</f>
        <v/>
      </c>
      <c r="DZ16" s="110" t="str">
        <f ca="1">RESULTADOS!I74</f>
        <v/>
      </c>
      <c r="EA16" s="110" t="str">
        <f ca="1">RESULTADOS!J74</f>
        <v/>
      </c>
      <c r="EB16" s="110" t="str">
        <f ca="1">RESULTADOS!K74</f>
        <v/>
      </c>
      <c r="EC16" s="110" t="str">
        <f ca="1">RESULTADOS!L74</f>
        <v/>
      </c>
      <c r="ED16" s="110" t="str">
        <f ca="1">RESULTADOS!M74</f>
        <v/>
      </c>
      <c r="EE16" s="110" t="str">
        <f ca="1">RESULTADOS!N74</f>
        <v/>
      </c>
      <c r="EF16" s="110" t="str">
        <f ca="1">RESULTADOS!O74</f>
        <v/>
      </c>
      <c r="EG16" s="110" t="str">
        <f ca="1">RESULTADOS!P74</f>
        <v/>
      </c>
      <c r="EH16" s="110" t="str">
        <f ca="1">RESULTADOS!Q74</f>
        <v/>
      </c>
      <c r="EI16" s="110" t="str">
        <f ca="1">RESULTADOS!R74</f>
        <v/>
      </c>
      <c r="EJ16" s="110" t="str">
        <f ca="1">RESULTADOS!S74</f>
        <v/>
      </c>
      <c r="EK16" s="110" t="str">
        <f ca="1">RESULTADOS!T74</f>
        <v/>
      </c>
      <c r="EL16" s="110" t="str">
        <f ca="1">RESULTADOS!U74</f>
        <v/>
      </c>
      <c r="EM16" s="110" t="str">
        <f ca="1">RESULTADOS!V74</f>
        <v/>
      </c>
      <c r="EN16" s="110" t="str">
        <f ca="1">RESULTADOS!W74</f>
        <v/>
      </c>
      <c r="EO16" s="110" t="str">
        <f ca="1">RESULTADOS!X74</f>
        <v/>
      </c>
      <c r="EP16" s="110" t="str">
        <f ca="1">RESULTADOS!Y74</f>
        <v/>
      </c>
      <c r="EQ16" s="110" t="str">
        <f ca="1">RESULTADOS!Z74</f>
        <v/>
      </c>
      <c r="ER16" s="110" t="str">
        <f ca="1">RESULTADOS!AA74</f>
        <v/>
      </c>
      <c r="ES16" s="110" t="str">
        <f ca="1">RESULTADOS!AB74</f>
        <v/>
      </c>
      <c r="ET16" s="110" t="str">
        <f ca="1">RESULTADOS!AC74</f>
        <v/>
      </c>
      <c r="EU16" s="110" t="str">
        <f ca="1">RESULTADOS!AD74</f>
        <v/>
      </c>
      <c r="EV16" s="110" t="str">
        <f ca="1">RESULTADOS!AE74</f>
        <v/>
      </c>
      <c r="EW16" s="110" t="str">
        <f ca="1">RESULTADOS!AF74</f>
        <v/>
      </c>
      <c r="EX16" s="110" t="str">
        <f ca="1">RESULTADOS!AG74</f>
        <v/>
      </c>
      <c r="EY16" s="110" t="str">
        <f ca="1">RESULTADOS!AH74</f>
        <v/>
      </c>
      <c r="EZ16" s="110" t="str">
        <f ca="1">RESULTADOS!AI74</f>
        <v/>
      </c>
      <c r="FA16" s="110" t="str">
        <f ca="1">RESULTADOS!AJ74</f>
        <v/>
      </c>
      <c r="FB16" s="110" t="str">
        <f ca="1">RESULTADOS!AK74</f>
        <v/>
      </c>
      <c r="FC16" s="110" t="str">
        <f ca="1">RESULTADOS!AL74</f>
        <v/>
      </c>
      <c r="FD16" s="110" t="str">
        <f ca="1">RESULTADOS!AM74</f>
        <v/>
      </c>
      <c r="FE16" s="110" t="str">
        <f ca="1">RESULTADOS!AN74</f>
        <v/>
      </c>
      <c r="FF16" s="110" t="str">
        <f ca="1">RESULTADOS!AO74</f>
        <v/>
      </c>
      <c r="FG16" s="110" t="str">
        <f ca="1">RESULTADOS!AP74</f>
        <v/>
      </c>
      <c r="FH16" s="110" t="str">
        <f ca="1">RESULTADOS!AQ74</f>
        <v/>
      </c>
      <c r="FI16" s="110" t="str">
        <f ca="1">RESULTADOS!AR74</f>
        <v/>
      </c>
      <c r="FJ16" s="110" t="str">
        <f ca="1">RESULTADOS!AS74</f>
        <v/>
      </c>
      <c r="FK16" s="110" t="str">
        <f ca="1">RESULTADOS!AT74</f>
        <v/>
      </c>
      <c r="FL16" s="110" t="str">
        <f ca="1">RESULTADOS!AU74</f>
        <v/>
      </c>
      <c r="FM16" s="110" t="str">
        <f ca="1">RESULTADOS!AV74</f>
        <v/>
      </c>
      <c r="FN16" s="110" t="str">
        <f ca="1">RESULTADOS!AW74</f>
        <v/>
      </c>
    </row>
    <row r="17" spans="3:170" ht="13">
      <c r="C17" s="108" t="s">
        <v>30</v>
      </c>
      <c r="D17" s="111">
        <f>'01.Definición de ámbito'!C45</f>
        <v>0</v>
      </c>
      <c r="K17" t="s">
        <v>475</v>
      </c>
      <c r="T17" s="112" t="str">
        <f>RESULTADOS!B34</f>
        <v/>
      </c>
      <c r="U17" s="112" t="str">
        <f>RESULTADOS!C34</f>
        <v/>
      </c>
      <c r="V17" s="112" t="str">
        <f t="shared" si="0"/>
        <v/>
      </c>
      <c r="W17" s="112" t="str">
        <v/>
      </c>
      <c r="X17" s="112" t="str">
        <f>RESULTADOS!D34</f>
        <v/>
      </c>
      <c r="Y17" s="112" t="str">
        <v/>
      </c>
      <c r="Z17" s="187" t="str">
        <v/>
      </c>
      <c r="AA17" s="110" t="str">
        <f ca="1">RESULTADOS!E34</f>
        <v/>
      </c>
      <c r="AB17" s="110" t="str">
        <f ca="1">RESULTADOS!F34</f>
        <v/>
      </c>
      <c r="AC17" s="110" t="str">
        <f ca="1">RESULTADOS!G34</f>
        <v/>
      </c>
      <c r="AD17" s="110" t="str">
        <f ca="1">RESULTADOS!H34</f>
        <v/>
      </c>
      <c r="AE17" s="110" t="str">
        <f ca="1">RESULTADOS!I34</f>
        <v/>
      </c>
      <c r="AF17" s="110" t="str">
        <f ca="1">RESULTADOS!J34</f>
        <v/>
      </c>
      <c r="AG17" s="110" t="str">
        <f ca="1">RESULTADOS!K34</f>
        <v/>
      </c>
      <c r="AH17" s="110" t="str">
        <f ca="1">RESULTADOS!L34</f>
        <v/>
      </c>
      <c r="AI17" s="110" t="str">
        <f ca="1">RESULTADOS!M34</f>
        <v/>
      </c>
      <c r="AJ17" s="110" t="str">
        <f ca="1">RESULTADOS!N34</f>
        <v/>
      </c>
      <c r="AK17" s="110" t="str">
        <f ca="1">RESULTADOS!O34</f>
        <v/>
      </c>
      <c r="AL17" s="110" t="str">
        <f ca="1">RESULTADOS!P34</f>
        <v/>
      </c>
      <c r="AM17" s="110" t="str">
        <f ca="1">RESULTADOS!Q34</f>
        <v/>
      </c>
      <c r="AN17" s="110" t="str">
        <f ca="1">RESULTADOS!R34</f>
        <v/>
      </c>
      <c r="AO17" s="110" t="str">
        <f ca="1">RESULTADOS!S34</f>
        <v/>
      </c>
      <c r="AP17" s="110" t="str">
        <f ca="1">RESULTADOS!T34</f>
        <v/>
      </c>
      <c r="AQ17" s="110" t="str">
        <f ca="1">RESULTADOS!U34</f>
        <v/>
      </c>
      <c r="AR17" s="110" t="str">
        <f ca="1">RESULTADOS!V34</f>
        <v/>
      </c>
      <c r="AS17" s="110" t="str">
        <f ca="1">RESULTADOS!W34</f>
        <v/>
      </c>
      <c r="AT17" s="110" t="str">
        <f ca="1">RESULTADOS!X34</f>
        <v/>
      </c>
      <c r="AU17" s="110" t="str">
        <f ca="1">RESULTADOS!Y34</f>
        <v/>
      </c>
      <c r="AV17" s="110" t="str">
        <f ca="1">RESULTADOS!Z34</f>
        <v/>
      </c>
      <c r="AW17" s="110" t="str">
        <f ca="1">RESULTADOS!AA34</f>
        <v/>
      </c>
      <c r="AX17" s="110" t="str">
        <f ca="1">RESULTADOS!AB34</f>
        <v/>
      </c>
      <c r="AY17" s="110" t="str">
        <f ca="1">RESULTADOS!AC34</f>
        <v/>
      </c>
      <c r="AZ17" s="110" t="str">
        <f ca="1">RESULTADOS!AD34</f>
        <v/>
      </c>
      <c r="BA17" s="110" t="str">
        <f ca="1">RESULTADOS!AE34</f>
        <v/>
      </c>
      <c r="BB17" s="110" t="str">
        <f ca="1">RESULTADOS!AF34</f>
        <v/>
      </c>
      <c r="BC17" s="110" t="str">
        <f ca="1">RESULTADOS!AG34</f>
        <v/>
      </c>
      <c r="BD17" s="110" t="str">
        <f ca="1">RESULTADOS!AH34</f>
        <v/>
      </c>
      <c r="BE17" s="110" t="str">
        <f ca="1">RESULTADOS!AI34</f>
        <v/>
      </c>
      <c r="BF17" s="110" t="str">
        <f ca="1">RESULTADOS!AJ34</f>
        <v/>
      </c>
      <c r="BG17" s="110" t="str">
        <f ca="1">RESULTADOS!AK34</f>
        <v/>
      </c>
      <c r="BH17" s="110" t="str">
        <f ca="1">RESULTADOS!AL34</f>
        <v/>
      </c>
      <c r="BI17" s="110" t="str">
        <f ca="1">RESULTADOS!AM34</f>
        <v/>
      </c>
      <c r="BJ17" s="110" t="str">
        <f ca="1">RESULTADOS!AN34</f>
        <v/>
      </c>
      <c r="BK17" s="110" t="str">
        <f ca="1">RESULTADOS!AO34</f>
        <v/>
      </c>
      <c r="BL17" s="110" t="str">
        <f ca="1">RESULTADOS!AP34</f>
        <v/>
      </c>
      <c r="BM17" s="110" t="str">
        <f ca="1">RESULTADOS!AQ34</f>
        <v/>
      </c>
      <c r="BN17" s="110" t="str">
        <f ca="1">RESULTADOS!AR34</f>
        <v/>
      </c>
      <c r="BO17" s="110" t="str">
        <f ca="1">RESULTADOS!AS34</f>
        <v/>
      </c>
      <c r="BP17" s="110" t="str">
        <f ca="1">RESULTADOS!AT34</f>
        <v/>
      </c>
      <c r="BQ17" s="110" t="str">
        <f ca="1">RESULTADOS!AU34</f>
        <v/>
      </c>
      <c r="BR17" s="110" t="str">
        <f ca="1">RESULTADOS!AV34</f>
        <v/>
      </c>
      <c r="BS17" s="110" t="str">
        <f ca="1">RESULTADOS!AW34</f>
        <v/>
      </c>
      <c r="BT17" s="110" t="str">
        <f ca="1">RESULTADOS!AX34</f>
        <v/>
      </c>
      <c r="BU17" s="110" t="str">
        <f ca="1">RESULTADOS!AY34</f>
        <v/>
      </c>
      <c r="BV17" s="110" t="str">
        <f ca="1">RESULTADOS!AZ34</f>
        <v/>
      </c>
      <c r="BW17" s="110" t="str">
        <f ca="1">RESULTADOS!BA34</f>
        <v/>
      </c>
      <c r="BX17" s="110" t="str">
        <f ca="1">RESULTADOS!BB34</f>
        <v/>
      </c>
      <c r="BY17" s="110" t="str">
        <f ca="1">RESULTADOS!BC34</f>
        <v/>
      </c>
      <c r="BZ17" s="110" t="str">
        <f ca="1">RESULTADOS!BD34</f>
        <v/>
      </c>
      <c r="CA17" s="110" t="str">
        <f ca="1">RESULTADOS!BE34</f>
        <v/>
      </c>
      <c r="CB17" s="110" t="str">
        <f ca="1">RESULTADOS!BF34</f>
        <v/>
      </c>
      <c r="CC17" s="110" t="str">
        <f ca="1">RESULTADOS!BG34</f>
        <v/>
      </c>
      <c r="CD17" s="110" t="str">
        <f ca="1">RESULTADOS!BH34</f>
        <v/>
      </c>
      <c r="CE17" s="110" t="str">
        <f ca="1">RESULTADOS!BI34</f>
        <v/>
      </c>
      <c r="CF17" s="110" t="str">
        <f ca="1">RESULTADOS!BJ34</f>
        <v/>
      </c>
      <c r="CG17" s="110" t="str">
        <f ca="1">RESULTADOS!BK34</f>
        <v/>
      </c>
      <c r="CH17" s="110" t="str">
        <f ca="1">RESULTADOS!BL34</f>
        <v/>
      </c>
      <c r="CI17" s="110" t="str">
        <f ca="1">RESULTADOS!BM34</f>
        <v/>
      </c>
      <c r="CJ17" s="110" t="str">
        <f ca="1">RESULTADOS!BN34</f>
        <v/>
      </c>
      <c r="CK17" s="110" t="str">
        <f ca="1">RESULTADOS!BO34</f>
        <v/>
      </c>
      <c r="CL17" s="110" t="str">
        <f ca="1">RESULTADOS!BP34</f>
        <v/>
      </c>
      <c r="CM17" s="110" t="str">
        <f ca="1">RESULTADOS!BQ34</f>
        <v/>
      </c>
      <c r="CN17" s="110" t="str">
        <f ca="1">RESULTADOS!BR34</f>
        <v/>
      </c>
      <c r="CO17" s="110" t="str">
        <f ca="1">RESULTADOS!BS34</f>
        <v/>
      </c>
      <c r="CP17" s="110" t="str">
        <f ca="1">RESULTADOS!BT34</f>
        <v/>
      </c>
      <c r="CQ17" s="110" t="str">
        <f ca="1">RESULTADOS!BU34</f>
        <v/>
      </c>
      <c r="CR17" s="110" t="str">
        <f ca="1">RESULTADOS!BV34</f>
        <v/>
      </c>
      <c r="CS17" s="110" t="str">
        <f ca="1">RESULTADOS!BW34</f>
        <v/>
      </c>
      <c r="CT17" s="110" t="str">
        <f ca="1">RESULTADOS!BX34</f>
        <v/>
      </c>
      <c r="CU17" s="110" t="str">
        <f ca="1">RESULTADOS!BY34</f>
        <v/>
      </c>
      <c r="CV17" s="110" t="str">
        <f ca="1">RESULTADOS!BZ34</f>
        <v/>
      </c>
      <c r="CW17" s="110" t="str">
        <f ca="1">RESULTADOS!CA34</f>
        <v/>
      </c>
      <c r="CX17" s="110" t="str">
        <f ca="1">RESULTADOS!CB34</f>
        <v/>
      </c>
      <c r="CY17" s="110" t="str">
        <f ca="1">RESULTADOS!CC34</f>
        <v/>
      </c>
      <c r="CZ17" s="110" t="str">
        <f ca="1">RESULTADOS!CD34</f>
        <v/>
      </c>
      <c r="DA17" s="110" t="str">
        <f ca="1">RESULTADOS!CE34</f>
        <v/>
      </c>
      <c r="DB17" s="110" t="str">
        <f ca="1">RESULTADOS!CF34</f>
        <v/>
      </c>
      <c r="DC17" s="110" t="str">
        <f ca="1">RESULTADOS!CG34</f>
        <v/>
      </c>
      <c r="DD17" s="110" t="str">
        <f ca="1">RESULTADOS!CH34</f>
        <v/>
      </c>
      <c r="DE17" s="110" t="str">
        <f ca="1">RESULTADOS!CI34</f>
        <v/>
      </c>
      <c r="DF17" s="110" t="str">
        <f ca="1">RESULTADOS!CJ34</f>
        <v/>
      </c>
      <c r="DG17" s="110" t="str">
        <f ca="1">RESULTADOS!CK34</f>
        <v/>
      </c>
      <c r="DH17" s="110" t="str">
        <f ca="1">RESULTADOS!CL34</f>
        <v/>
      </c>
      <c r="DI17" s="110" t="str">
        <f ca="1">RESULTADOS!CM34</f>
        <v/>
      </c>
      <c r="DJ17" s="110" t="str">
        <f ca="1">RESULTADOS!CN34</f>
        <v/>
      </c>
      <c r="DK17" s="110" t="str">
        <f ca="1">RESULTADOS!CO34</f>
        <v/>
      </c>
      <c r="DL17" s="110" t="str">
        <f ca="1">RESULTADOS!CP34</f>
        <v/>
      </c>
      <c r="DM17" s="110" t="str">
        <f ca="1">RESULTADOS!CQ34</f>
        <v/>
      </c>
      <c r="DN17" s="110" t="str">
        <f ca="1">RESULTADOS!CR34</f>
        <v/>
      </c>
      <c r="DO17" s="112" t="str">
        <f>RESULTADOS!B75</f>
        <v/>
      </c>
      <c r="DP17" s="112" t="str">
        <f>RESULTADOS!C75</f>
        <v/>
      </c>
      <c r="DQ17" s="112" t="str">
        <f t="shared" si="1"/>
        <v/>
      </c>
      <c r="DR17" s="112" t="str" cm="1">
        <f t="array" ref="DR17">IFERROR(INDEX('03.Muestra'!$E$8:$E$42,SMALL(IF("Documento no web"='03.Muestra'!$D$8:$D$42,ROW('03.Muestra'!$E$8:$E$42)-MIN(ROW('03.Muestra'!$D$8:$D$42))+1,""),ROW()-2)),"")</f>
        <v/>
      </c>
      <c r="DS17" s="112" t="str">
        <f>RESULTADOS!D75</f>
        <v/>
      </c>
      <c r="DT17" s="112" t="str" cm="1">
        <f t="array" ref="DT17">IFERROR(INDEX('03.Muestra'!$G$8:$G$42,SMALL(IF("Documento no web"='03.Muestra'!$D$8:$D$42,ROW('03.Muestra'!$G$8:$G$42)-MIN(ROW('03.Muestra'!$D$8:$D$42))+1,""),ROW()-2)),"")</f>
        <v/>
      </c>
      <c r="DU17" s="187" t="str" cm="1">
        <f t="array" ref="DU17">IFERROR(INDEX('03.Muestra'!$H$8:$H$42,SMALL(IF("Documento no web"='03.Muestra'!$D$8:$D$42,ROW('03.Muestra'!$H$8:$H$42)-MIN(ROW('03.Muestra'!$D$8:$D$42))+1,""),ROW()-2)),"")</f>
        <v/>
      </c>
      <c r="DV17" s="110" t="str">
        <f ca="1">RESULTADOS!E75</f>
        <v/>
      </c>
      <c r="DW17" s="110" t="str">
        <f ca="1">RESULTADOS!F75</f>
        <v/>
      </c>
      <c r="DX17" s="110" t="str">
        <f ca="1">RESULTADOS!G75</f>
        <v/>
      </c>
      <c r="DY17" s="110" t="str">
        <f ca="1">RESULTADOS!H75</f>
        <v/>
      </c>
      <c r="DZ17" s="110" t="str">
        <f ca="1">RESULTADOS!I75</f>
        <v/>
      </c>
      <c r="EA17" s="110" t="str">
        <f ca="1">RESULTADOS!J75</f>
        <v/>
      </c>
      <c r="EB17" s="110" t="str">
        <f ca="1">RESULTADOS!K75</f>
        <v/>
      </c>
      <c r="EC17" s="110" t="str">
        <f ca="1">RESULTADOS!L75</f>
        <v/>
      </c>
      <c r="ED17" s="110" t="str">
        <f ca="1">RESULTADOS!M75</f>
        <v/>
      </c>
      <c r="EE17" s="110" t="str">
        <f ca="1">RESULTADOS!N75</f>
        <v/>
      </c>
      <c r="EF17" s="110" t="str">
        <f ca="1">RESULTADOS!O75</f>
        <v/>
      </c>
      <c r="EG17" s="110" t="str">
        <f ca="1">RESULTADOS!P75</f>
        <v/>
      </c>
      <c r="EH17" s="110" t="str">
        <f ca="1">RESULTADOS!Q75</f>
        <v/>
      </c>
      <c r="EI17" s="110" t="str">
        <f ca="1">RESULTADOS!R75</f>
        <v/>
      </c>
      <c r="EJ17" s="110" t="str">
        <f ca="1">RESULTADOS!S75</f>
        <v/>
      </c>
      <c r="EK17" s="110" t="str">
        <f ca="1">RESULTADOS!T75</f>
        <v/>
      </c>
      <c r="EL17" s="110" t="str">
        <f ca="1">RESULTADOS!U75</f>
        <v/>
      </c>
      <c r="EM17" s="110" t="str">
        <f ca="1">RESULTADOS!V75</f>
        <v/>
      </c>
      <c r="EN17" s="110" t="str">
        <f ca="1">RESULTADOS!W75</f>
        <v/>
      </c>
      <c r="EO17" s="110" t="str">
        <f ca="1">RESULTADOS!X75</f>
        <v/>
      </c>
      <c r="EP17" s="110" t="str">
        <f ca="1">RESULTADOS!Y75</f>
        <v/>
      </c>
      <c r="EQ17" s="110" t="str">
        <f ca="1">RESULTADOS!Z75</f>
        <v/>
      </c>
      <c r="ER17" s="110" t="str">
        <f ca="1">RESULTADOS!AA75</f>
        <v/>
      </c>
      <c r="ES17" s="110" t="str">
        <f ca="1">RESULTADOS!AB75</f>
        <v/>
      </c>
      <c r="ET17" s="110" t="str">
        <f ca="1">RESULTADOS!AC75</f>
        <v/>
      </c>
      <c r="EU17" s="110" t="str">
        <f ca="1">RESULTADOS!AD75</f>
        <v/>
      </c>
      <c r="EV17" s="110" t="str">
        <f ca="1">RESULTADOS!AE75</f>
        <v/>
      </c>
      <c r="EW17" s="110" t="str">
        <f ca="1">RESULTADOS!AF75</f>
        <v/>
      </c>
      <c r="EX17" s="110" t="str">
        <f ca="1">RESULTADOS!AG75</f>
        <v/>
      </c>
      <c r="EY17" s="110" t="str">
        <f ca="1">RESULTADOS!AH75</f>
        <v/>
      </c>
      <c r="EZ17" s="110" t="str">
        <f ca="1">RESULTADOS!AI75</f>
        <v/>
      </c>
      <c r="FA17" s="110" t="str">
        <f ca="1">RESULTADOS!AJ75</f>
        <v/>
      </c>
      <c r="FB17" s="110" t="str">
        <f ca="1">RESULTADOS!AK75</f>
        <v/>
      </c>
      <c r="FC17" s="110" t="str">
        <f ca="1">RESULTADOS!AL75</f>
        <v/>
      </c>
      <c r="FD17" s="110" t="str">
        <f ca="1">RESULTADOS!AM75</f>
        <v/>
      </c>
      <c r="FE17" s="110" t="str">
        <f ca="1">RESULTADOS!AN75</f>
        <v/>
      </c>
      <c r="FF17" s="110" t="str">
        <f ca="1">RESULTADOS!AO75</f>
        <v/>
      </c>
      <c r="FG17" s="110" t="str">
        <f ca="1">RESULTADOS!AP75</f>
        <v/>
      </c>
      <c r="FH17" s="110" t="str">
        <f ca="1">RESULTADOS!AQ75</f>
        <v/>
      </c>
      <c r="FI17" s="110" t="str">
        <f ca="1">RESULTADOS!AR75</f>
        <v/>
      </c>
      <c r="FJ17" s="110" t="str">
        <f ca="1">RESULTADOS!AS75</f>
        <v/>
      </c>
      <c r="FK17" s="110" t="str">
        <f ca="1">RESULTADOS!AT75</f>
        <v/>
      </c>
      <c r="FL17" s="110" t="str">
        <f ca="1">RESULTADOS!AU75</f>
        <v/>
      </c>
      <c r="FM17" s="110" t="str">
        <f ca="1">RESULTADOS!AV75</f>
        <v/>
      </c>
      <c r="FN17" s="110" t="str">
        <f ca="1">RESULTADOS!AW75</f>
        <v/>
      </c>
    </row>
    <row r="18" spans="3:170" ht="13">
      <c r="C18" s="108" t="s">
        <v>35</v>
      </c>
      <c r="D18" s="111" t="str">
        <f>'01.Definición de ámbito'!D48</f>
        <v>No</v>
      </c>
      <c r="K18" t="s">
        <v>91</v>
      </c>
      <c r="L18" s="112">
        <f ca="1">RESULTADOS!L8</f>
        <v>321</v>
      </c>
      <c r="M18" s="170">
        <f ca="1">RESULTADOS!M8</f>
        <v>0.24922360248447206</v>
      </c>
      <c r="T18" s="112" t="str">
        <f>RESULTADOS!B35</f>
        <v/>
      </c>
      <c r="U18" s="112" t="str">
        <f>RESULTADOS!C35</f>
        <v/>
      </c>
      <c r="V18" s="112" t="str">
        <f t="shared" si="0"/>
        <v/>
      </c>
      <c r="W18" s="112" t="str">
        <v/>
      </c>
      <c r="X18" s="112" t="str">
        <f>RESULTADOS!D35</f>
        <v/>
      </c>
      <c r="Y18" s="112" t="str">
        <v/>
      </c>
      <c r="Z18" s="187" t="str">
        <v/>
      </c>
      <c r="AA18" s="110" t="str">
        <f ca="1">RESULTADOS!E35</f>
        <v/>
      </c>
      <c r="AB18" s="110" t="str">
        <f ca="1">RESULTADOS!F35</f>
        <v/>
      </c>
      <c r="AC18" s="110" t="str">
        <f ca="1">RESULTADOS!G35</f>
        <v/>
      </c>
      <c r="AD18" s="110" t="str">
        <f ca="1">RESULTADOS!H35</f>
        <v/>
      </c>
      <c r="AE18" s="110" t="str">
        <f ca="1">RESULTADOS!I35</f>
        <v/>
      </c>
      <c r="AF18" s="110" t="str">
        <f ca="1">RESULTADOS!J35</f>
        <v/>
      </c>
      <c r="AG18" s="110" t="str">
        <f ca="1">RESULTADOS!K35</f>
        <v/>
      </c>
      <c r="AH18" s="110" t="str">
        <f ca="1">RESULTADOS!L35</f>
        <v/>
      </c>
      <c r="AI18" s="110" t="str">
        <f ca="1">RESULTADOS!M35</f>
        <v/>
      </c>
      <c r="AJ18" s="110" t="str">
        <f ca="1">RESULTADOS!N35</f>
        <v/>
      </c>
      <c r="AK18" s="110" t="str">
        <f ca="1">RESULTADOS!O35</f>
        <v/>
      </c>
      <c r="AL18" s="110" t="str">
        <f ca="1">RESULTADOS!P35</f>
        <v/>
      </c>
      <c r="AM18" s="110" t="str">
        <f ca="1">RESULTADOS!Q35</f>
        <v/>
      </c>
      <c r="AN18" s="110" t="str">
        <f ca="1">RESULTADOS!R35</f>
        <v/>
      </c>
      <c r="AO18" s="110" t="str">
        <f ca="1">RESULTADOS!S35</f>
        <v/>
      </c>
      <c r="AP18" s="110" t="str">
        <f ca="1">RESULTADOS!T35</f>
        <v/>
      </c>
      <c r="AQ18" s="110" t="str">
        <f ca="1">RESULTADOS!U35</f>
        <v/>
      </c>
      <c r="AR18" s="110" t="str">
        <f ca="1">RESULTADOS!V35</f>
        <v/>
      </c>
      <c r="AS18" s="110" t="str">
        <f ca="1">RESULTADOS!W35</f>
        <v/>
      </c>
      <c r="AT18" s="110" t="str">
        <f ca="1">RESULTADOS!X35</f>
        <v/>
      </c>
      <c r="AU18" s="110" t="str">
        <f ca="1">RESULTADOS!Y35</f>
        <v/>
      </c>
      <c r="AV18" s="110" t="str">
        <f ca="1">RESULTADOS!Z35</f>
        <v/>
      </c>
      <c r="AW18" s="110" t="str">
        <f ca="1">RESULTADOS!AA35</f>
        <v/>
      </c>
      <c r="AX18" s="110" t="str">
        <f ca="1">RESULTADOS!AB35</f>
        <v/>
      </c>
      <c r="AY18" s="110" t="str">
        <f ca="1">RESULTADOS!AC35</f>
        <v/>
      </c>
      <c r="AZ18" s="110" t="str">
        <f ca="1">RESULTADOS!AD35</f>
        <v/>
      </c>
      <c r="BA18" s="110" t="str">
        <f ca="1">RESULTADOS!AE35</f>
        <v/>
      </c>
      <c r="BB18" s="110" t="str">
        <f ca="1">RESULTADOS!AF35</f>
        <v/>
      </c>
      <c r="BC18" s="110" t="str">
        <f ca="1">RESULTADOS!AG35</f>
        <v/>
      </c>
      <c r="BD18" s="110" t="str">
        <f ca="1">RESULTADOS!AH35</f>
        <v/>
      </c>
      <c r="BE18" s="110" t="str">
        <f ca="1">RESULTADOS!AI35</f>
        <v/>
      </c>
      <c r="BF18" s="110" t="str">
        <f ca="1">RESULTADOS!AJ35</f>
        <v/>
      </c>
      <c r="BG18" s="110" t="str">
        <f ca="1">RESULTADOS!AK35</f>
        <v/>
      </c>
      <c r="BH18" s="110" t="str">
        <f ca="1">RESULTADOS!AL35</f>
        <v/>
      </c>
      <c r="BI18" s="110" t="str">
        <f ca="1">RESULTADOS!AM35</f>
        <v/>
      </c>
      <c r="BJ18" s="110" t="str">
        <f ca="1">RESULTADOS!AN35</f>
        <v/>
      </c>
      <c r="BK18" s="110" t="str">
        <f ca="1">RESULTADOS!AO35</f>
        <v/>
      </c>
      <c r="BL18" s="110" t="str">
        <f ca="1">RESULTADOS!AP35</f>
        <v/>
      </c>
      <c r="BM18" s="110" t="str">
        <f ca="1">RESULTADOS!AQ35</f>
        <v/>
      </c>
      <c r="BN18" s="110" t="str">
        <f ca="1">RESULTADOS!AR35</f>
        <v/>
      </c>
      <c r="BO18" s="110" t="str">
        <f ca="1">RESULTADOS!AS35</f>
        <v/>
      </c>
      <c r="BP18" s="110" t="str">
        <f ca="1">RESULTADOS!AT35</f>
        <v/>
      </c>
      <c r="BQ18" s="110" t="str">
        <f ca="1">RESULTADOS!AU35</f>
        <v/>
      </c>
      <c r="BR18" s="110" t="str">
        <f ca="1">RESULTADOS!AV35</f>
        <v/>
      </c>
      <c r="BS18" s="110" t="str">
        <f ca="1">RESULTADOS!AW35</f>
        <v/>
      </c>
      <c r="BT18" s="110" t="str">
        <f ca="1">RESULTADOS!AX35</f>
        <v/>
      </c>
      <c r="BU18" s="110" t="str">
        <f ca="1">RESULTADOS!AY35</f>
        <v/>
      </c>
      <c r="BV18" s="110" t="str">
        <f ca="1">RESULTADOS!AZ35</f>
        <v/>
      </c>
      <c r="BW18" s="110" t="str">
        <f ca="1">RESULTADOS!BA35</f>
        <v/>
      </c>
      <c r="BX18" s="110" t="str">
        <f ca="1">RESULTADOS!BB35</f>
        <v/>
      </c>
      <c r="BY18" s="110" t="str">
        <f ca="1">RESULTADOS!BC35</f>
        <v/>
      </c>
      <c r="BZ18" s="110" t="str">
        <f ca="1">RESULTADOS!BD35</f>
        <v/>
      </c>
      <c r="CA18" s="110" t="str">
        <f ca="1">RESULTADOS!BE35</f>
        <v/>
      </c>
      <c r="CB18" s="110" t="str">
        <f ca="1">RESULTADOS!BF35</f>
        <v/>
      </c>
      <c r="CC18" s="110" t="str">
        <f ca="1">RESULTADOS!BG35</f>
        <v/>
      </c>
      <c r="CD18" s="110" t="str">
        <f ca="1">RESULTADOS!BH35</f>
        <v/>
      </c>
      <c r="CE18" s="110" t="str">
        <f ca="1">RESULTADOS!BI35</f>
        <v/>
      </c>
      <c r="CF18" s="110" t="str">
        <f ca="1">RESULTADOS!BJ35</f>
        <v/>
      </c>
      <c r="CG18" s="110" t="str">
        <f ca="1">RESULTADOS!BK35</f>
        <v/>
      </c>
      <c r="CH18" s="110" t="str">
        <f ca="1">RESULTADOS!BL35</f>
        <v/>
      </c>
      <c r="CI18" s="110" t="str">
        <f ca="1">RESULTADOS!BM35</f>
        <v/>
      </c>
      <c r="CJ18" s="110" t="str">
        <f ca="1">RESULTADOS!BN35</f>
        <v/>
      </c>
      <c r="CK18" s="110" t="str">
        <f ca="1">RESULTADOS!BO35</f>
        <v/>
      </c>
      <c r="CL18" s="110" t="str">
        <f ca="1">RESULTADOS!BP35</f>
        <v/>
      </c>
      <c r="CM18" s="110" t="str">
        <f ca="1">RESULTADOS!BQ35</f>
        <v/>
      </c>
      <c r="CN18" s="110" t="str">
        <f ca="1">RESULTADOS!BR35</f>
        <v/>
      </c>
      <c r="CO18" s="110" t="str">
        <f ca="1">RESULTADOS!BS35</f>
        <v/>
      </c>
      <c r="CP18" s="110" t="str">
        <f ca="1">RESULTADOS!BT35</f>
        <v/>
      </c>
      <c r="CQ18" s="110" t="str">
        <f ca="1">RESULTADOS!BU35</f>
        <v/>
      </c>
      <c r="CR18" s="110" t="str">
        <f ca="1">RESULTADOS!BV35</f>
        <v/>
      </c>
      <c r="CS18" s="110" t="str">
        <f ca="1">RESULTADOS!BW35</f>
        <v/>
      </c>
      <c r="CT18" s="110" t="str">
        <f ca="1">RESULTADOS!BX35</f>
        <v/>
      </c>
      <c r="CU18" s="110" t="str">
        <f ca="1">RESULTADOS!BY35</f>
        <v/>
      </c>
      <c r="CV18" s="110" t="str">
        <f ca="1">RESULTADOS!BZ35</f>
        <v/>
      </c>
      <c r="CW18" s="110" t="str">
        <f ca="1">RESULTADOS!CA35</f>
        <v/>
      </c>
      <c r="CX18" s="110" t="str">
        <f ca="1">RESULTADOS!CB35</f>
        <v/>
      </c>
      <c r="CY18" s="110" t="str">
        <f ca="1">RESULTADOS!CC35</f>
        <v/>
      </c>
      <c r="CZ18" s="110" t="str">
        <f ca="1">RESULTADOS!CD35</f>
        <v/>
      </c>
      <c r="DA18" s="110" t="str">
        <f ca="1">RESULTADOS!CE35</f>
        <v/>
      </c>
      <c r="DB18" s="110" t="str">
        <f ca="1">RESULTADOS!CF35</f>
        <v/>
      </c>
      <c r="DC18" s="110" t="str">
        <f ca="1">RESULTADOS!CG35</f>
        <v/>
      </c>
      <c r="DD18" s="110" t="str">
        <f ca="1">RESULTADOS!CH35</f>
        <v/>
      </c>
      <c r="DE18" s="110" t="str">
        <f ca="1">RESULTADOS!CI35</f>
        <v/>
      </c>
      <c r="DF18" s="110" t="str">
        <f ca="1">RESULTADOS!CJ35</f>
        <v/>
      </c>
      <c r="DG18" s="110" t="str">
        <f ca="1">RESULTADOS!CK35</f>
        <v/>
      </c>
      <c r="DH18" s="110" t="str">
        <f ca="1">RESULTADOS!CL35</f>
        <v/>
      </c>
      <c r="DI18" s="110" t="str">
        <f ca="1">RESULTADOS!CM35</f>
        <v/>
      </c>
      <c r="DJ18" s="110" t="str">
        <f ca="1">RESULTADOS!CN35</f>
        <v/>
      </c>
      <c r="DK18" s="110" t="str">
        <f ca="1">RESULTADOS!CO35</f>
        <v/>
      </c>
      <c r="DL18" s="110" t="str">
        <f ca="1">RESULTADOS!CP35</f>
        <v/>
      </c>
      <c r="DM18" s="110" t="str">
        <f ca="1">RESULTADOS!CQ35</f>
        <v/>
      </c>
      <c r="DN18" s="110" t="str">
        <f ca="1">RESULTADOS!CR35</f>
        <v/>
      </c>
      <c r="DO18" s="112" t="str">
        <f>RESULTADOS!B76</f>
        <v/>
      </c>
      <c r="DP18" s="112" t="str">
        <f>RESULTADOS!C76</f>
        <v/>
      </c>
      <c r="DQ18" s="112" t="str">
        <f t="shared" si="1"/>
        <v/>
      </c>
      <c r="DR18" s="112" t="str" cm="1">
        <f t="array" ref="DR18">IFERROR(INDEX('03.Muestra'!$E$8:$E$42,SMALL(IF("Documento no web"='03.Muestra'!$D$8:$D$42,ROW('03.Muestra'!$E$8:$E$42)-MIN(ROW('03.Muestra'!$D$8:$D$42))+1,""),ROW()-2)),"")</f>
        <v/>
      </c>
      <c r="DS18" s="112" t="str">
        <f>RESULTADOS!D76</f>
        <v/>
      </c>
      <c r="DT18" s="112" t="str" cm="1">
        <f t="array" ref="DT18">IFERROR(INDEX('03.Muestra'!$G$8:$G$42,SMALL(IF("Documento no web"='03.Muestra'!$D$8:$D$42,ROW('03.Muestra'!$G$8:$G$42)-MIN(ROW('03.Muestra'!$D$8:$D$42))+1,""),ROW()-2)),"")</f>
        <v/>
      </c>
      <c r="DU18" s="187" t="str" cm="1">
        <f t="array" ref="DU18">IFERROR(INDEX('03.Muestra'!$H$8:$H$42,SMALL(IF("Documento no web"='03.Muestra'!$D$8:$D$42,ROW('03.Muestra'!$H$8:$H$42)-MIN(ROW('03.Muestra'!$D$8:$D$42))+1,""),ROW()-2)),"")</f>
        <v/>
      </c>
      <c r="DV18" s="110" t="str">
        <f ca="1">RESULTADOS!E76</f>
        <v/>
      </c>
      <c r="DW18" s="110" t="str">
        <f ca="1">RESULTADOS!F76</f>
        <v/>
      </c>
      <c r="DX18" s="110" t="str">
        <f ca="1">RESULTADOS!G76</f>
        <v/>
      </c>
      <c r="DY18" s="110" t="str">
        <f ca="1">RESULTADOS!H76</f>
        <v/>
      </c>
      <c r="DZ18" s="110" t="str">
        <f ca="1">RESULTADOS!I76</f>
        <v/>
      </c>
      <c r="EA18" s="110" t="str">
        <f ca="1">RESULTADOS!J76</f>
        <v/>
      </c>
      <c r="EB18" s="110" t="str">
        <f ca="1">RESULTADOS!K76</f>
        <v/>
      </c>
      <c r="EC18" s="110" t="str">
        <f ca="1">RESULTADOS!L76</f>
        <v/>
      </c>
      <c r="ED18" s="110" t="str">
        <f ca="1">RESULTADOS!M76</f>
        <v/>
      </c>
      <c r="EE18" s="110" t="str">
        <f ca="1">RESULTADOS!N76</f>
        <v/>
      </c>
      <c r="EF18" s="110" t="str">
        <f ca="1">RESULTADOS!O76</f>
        <v/>
      </c>
      <c r="EG18" s="110" t="str">
        <f ca="1">RESULTADOS!P76</f>
        <v/>
      </c>
      <c r="EH18" s="110" t="str">
        <f ca="1">RESULTADOS!Q76</f>
        <v/>
      </c>
      <c r="EI18" s="110" t="str">
        <f ca="1">RESULTADOS!R76</f>
        <v/>
      </c>
      <c r="EJ18" s="110" t="str">
        <f ca="1">RESULTADOS!S76</f>
        <v/>
      </c>
      <c r="EK18" s="110" t="str">
        <f ca="1">RESULTADOS!T76</f>
        <v/>
      </c>
      <c r="EL18" s="110" t="str">
        <f ca="1">RESULTADOS!U76</f>
        <v/>
      </c>
      <c r="EM18" s="110" t="str">
        <f ca="1">RESULTADOS!V76</f>
        <v/>
      </c>
      <c r="EN18" s="110" t="str">
        <f ca="1">RESULTADOS!W76</f>
        <v/>
      </c>
      <c r="EO18" s="110" t="str">
        <f ca="1">RESULTADOS!X76</f>
        <v/>
      </c>
      <c r="EP18" s="110" t="str">
        <f ca="1">RESULTADOS!Y76</f>
        <v/>
      </c>
      <c r="EQ18" s="110" t="str">
        <f ca="1">RESULTADOS!Z76</f>
        <v/>
      </c>
      <c r="ER18" s="110" t="str">
        <f ca="1">RESULTADOS!AA76</f>
        <v/>
      </c>
      <c r="ES18" s="110" t="str">
        <f ca="1">RESULTADOS!AB76</f>
        <v/>
      </c>
      <c r="ET18" s="110" t="str">
        <f ca="1">RESULTADOS!AC76</f>
        <v/>
      </c>
      <c r="EU18" s="110" t="str">
        <f ca="1">RESULTADOS!AD76</f>
        <v/>
      </c>
      <c r="EV18" s="110" t="str">
        <f ca="1">RESULTADOS!AE76</f>
        <v/>
      </c>
      <c r="EW18" s="110" t="str">
        <f ca="1">RESULTADOS!AF76</f>
        <v/>
      </c>
      <c r="EX18" s="110" t="str">
        <f ca="1">RESULTADOS!AG76</f>
        <v/>
      </c>
      <c r="EY18" s="110" t="str">
        <f ca="1">RESULTADOS!AH76</f>
        <v/>
      </c>
      <c r="EZ18" s="110" t="str">
        <f ca="1">RESULTADOS!AI76</f>
        <v/>
      </c>
      <c r="FA18" s="110" t="str">
        <f ca="1">RESULTADOS!AJ76</f>
        <v/>
      </c>
      <c r="FB18" s="110" t="str">
        <f ca="1">RESULTADOS!AK76</f>
        <v/>
      </c>
      <c r="FC18" s="110" t="str">
        <f ca="1">RESULTADOS!AL76</f>
        <v/>
      </c>
      <c r="FD18" s="110" t="str">
        <f ca="1">RESULTADOS!AM76</f>
        <v/>
      </c>
      <c r="FE18" s="110" t="str">
        <f ca="1">RESULTADOS!AN76</f>
        <v/>
      </c>
      <c r="FF18" s="110" t="str">
        <f ca="1">RESULTADOS!AO76</f>
        <v/>
      </c>
      <c r="FG18" s="110" t="str">
        <f ca="1">RESULTADOS!AP76</f>
        <v/>
      </c>
      <c r="FH18" s="110" t="str">
        <f ca="1">RESULTADOS!AQ76</f>
        <v/>
      </c>
      <c r="FI18" s="110" t="str">
        <f ca="1">RESULTADOS!AR76</f>
        <v/>
      </c>
      <c r="FJ18" s="110" t="str">
        <f ca="1">RESULTADOS!AS76</f>
        <v/>
      </c>
      <c r="FK18" s="110" t="str">
        <f ca="1">RESULTADOS!AT76</f>
        <v/>
      </c>
      <c r="FL18" s="110" t="str">
        <f ca="1">RESULTADOS!AU76</f>
        <v/>
      </c>
      <c r="FM18" s="110" t="str">
        <f ca="1">RESULTADOS!AV76</f>
        <v/>
      </c>
      <c r="FN18" s="110" t="str">
        <f ca="1">RESULTADOS!AW76</f>
        <v/>
      </c>
    </row>
    <row r="19" spans="3:170" ht="13">
      <c r="C19" s="108" t="s">
        <v>37</v>
      </c>
      <c r="D19" s="111" t="str">
        <f>'01.Definición de ámbito'!D49</f>
        <v>Sí</v>
      </c>
      <c r="K19" t="s">
        <v>93</v>
      </c>
      <c r="L19" s="112">
        <f ca="1">RESULTADOS!L9</f>
        <v>155</v>
      </c>
      <c r="M19" s="170">
        <f ca="1">RESULTADOS!M9</f>
        <v>0.1203416149068323</v>
      </c>
      <c r="T19" s="112" t="str">
        <f>RESULTADOS!B36</f>
        <v/>
      </c>
      <c r="U19" s="112" t="str">
        <f>RESULTADOS!C36</f>
        <v/>
      </c>
      <c r="V19" s="112" t="str">
        <f t="shared" si="0"/>
        <v/>
      </c>
      <c r="W19" s="112" t="str">
        <v/>
      </c>
      <c r="X19" s="112" t="str">
        <f>RESULTADOS!D36</f>
        <v/>
      </c>
      <c r="Y19" s="112" t="str">
        <v/>
      </c>
      <c r="Z19" s="187" t="str">
        <v/>
      </c>
      <c r="AA19" s="110" t="str">
        <f ca="1">RESULTADOS!E36</f>
        <v/>
      </c>
      <c r="AB19" s="110" t="str">
        <f ca="1">RESULTADOS!F36</f>
        <v/>
      </c>
      <c r="AC19" s="110" t="str">
        <f ca="1">RESULTADOS!G36</f>
        <v/>
      </c>
      <c r="AD19" s="110" t="str">
        <f ca="1">RESULTADOS!H36</f>
        <v/>
      </c>
      <c r="AE19" s="110" t="str">
        <f ca="1">RESULTADOS!I36</f>
        <v/>
      </c>
      <c r="AF19" s="110" t="str">
        <f ca="1">RESULTADOS!J36</f>
        <v/>
      </c>
      <c r="AG19" s="110" t="str">
        <f ca="1">RESULTADOS!K36</f>
        <v/>
      </c>
      <c r="AH19" s="110" t="str">
        <f ca="1">RESULTADOS!L36</f>
        <v/>
      </c>
      <c r="AI19" s="110" t="str">
        <f ca="1">RESULTADOS!M36</f>
        <v/>
      </c>
      <c r="AJ19" s="110" t="str">
        <f ca="1">RESULTADOS!N36</f>
        <v/>
      </c>
      <c r="AK19" s="110" t="str">
        <f ca="1">RESULTADOS!O36</f>
        <v/>
      </c>
      <c r="AL19" s="110" t="str">
        <f ca="1">RESULTADOS!P36</f>
        <v/>
      </c>
      <c r="AM19" s="110" t="str">
        <f ca="1">RESULTADOS!Q36</f>
        <v/>
      </c>
      <c r="AN19" s="110" t="str">
        <f ca="1">RESULTADOS!R36</f>
        <v/>
      </c>
      <c r="AO19" s="110" t="str">
        <f ca="1">RESULTADOS!S36</f>
        <v/>
      </c>
      <c r="AP19" s="110" t="str">
        <f ca="1">RESULTADOS!T36</f>
        <v/>
      </c>
      <c r="AQ19" s="110" t="str">
        <f ca="1">RESULTADOS!U36</f>
        <v/>
      </c>
      <c r="AR19" s="110" t="str">
        <f ca="1">RESULTADOS!V36</f>
        <v/>
      </c>
      <c r="AS19" s="110" t="str">
        <f ca="1">RESULTADOS!W36</f>
        <v/>
      </c>
      <c r="AT19" s="110" t="str">
        <f ca="1">RESULTADOS!X36</f>
        <v/>
      </c>
      <c r="AU19" s="110" t="str">
        <f ca="1">RESULTADOS!Y36</f>
        <v/>
      </c>
      <c r="AV19" s="110" t="str">
        <f ca="1">RESULTADOS!Z36</f>
        <v/>
      </c>
      <c r="AW19" s="110" t="str">
        <f ca="1">RESULTADOS!AA36</f>
        <v/>
      </c>
      <c r="AX19" s="110" t="str">
        <f ca="1">RESULTADOS!AB36</f>
        <v/>
      </c>
      <c r="AY19" s="110" t="str">
        <f ca="1">RESULTADOS!AC36</f>
        <v/>
      </c>
      <c r="AZ19" s="110" t="str">
        <f ca="1">RESULTADOS!AD36</f>
        <v/>
      </c>
      <c r="BA19" s="110" t="str">
        <f ca="1">RESULTADOS!AE36</f>
        <v/>
      </c>
      <c r="BB19" s="110" t="str">
        <f ca="1">RESULTADOS!AF36</f>
        <v/>
      </c>
      <c r="BC19" s="110" t="str">
        <f ca="1">RESULTADOS!AG36</f>
        <v/>
      </c>
      <c r="BD19" s="110" t="str">
        <f ca="1">RESULTADOS!AH36</f>
        <v/>
      </c>
      <c r="BE19" s="110" t="str">
        <f ca="1">RESULTADOS!AI36</f>
        <v/>
      </c>
      <c r="BF19" s="110" t="str">
        <f ca="1">RESULTADOS!AJ36</f>
        <v/>
      </c>
      <c r="BG19" s="110" t="str">
        <f ca="1">RESULTADOS!AK36</f>
        <v/>
      </c>
      <c r="BH19" s="110" t="str">
        <f ca="1">RESULTADOS!AL36</f>
        <v/>
      </c>
      <c r="BI19" s="110" t="str">
        <f ca="1">RESULTADOS!AM36</f>
        <v/>
      </c>
      <c r="BJ19" s="110" t="str">
        <f ca="1">RESULTADOS!AN36</f>
        <v/>
      </c>
      <c r="BK19" s="110" t="str">
        <f ca="1">RESULTADOS!AO36</f>
        <v/>
      </c>
      <c r="BL19" s="110" t="str">
        <f ca="1">RESULTADOS!AP36</f>
        <v/>
      </c>
      <c r="BM19" s="110" t="str">
        <f ca="1">RESULTADOS!AQ36</f>
        <v/>
      </c>
      <c r="BN19" s="110" t="str">
        <f ca="1">RESULTADOS!AR36</f>
        <v/>
      </c>
      <c r="BO19" s="110" t="str">
        <f ca="1">RESULTADOS!AS36</f>
        <v/>
      </c>
      <c r="BP19" s="110" t="str">
        <f ca="1">RESULTADOS!AT36</f>
        <v/>
      </c>
      <c r="BQ19" s="110" t="str">
        <f ca="1">RESULTADOS!AU36</f>
        <v/>
      </c>
      <c r="BR19" s="110" t="str">
        <f ca="1">RESULTADOS!AV36</f>
        <v/>
      </c>
      <c r="BS19" s="110" t="str">
        <f ca="1">RESULTADOS!AW36</f>
        <v/>
      </c>
      <c r="BT19" s="110" t="str">
        <f ca="1">RESULTADOS!AX36</f>
        <v/>
      </c>
      <c r="BU19" s="110" t="str">
        <f ca="1">RESULTADOS!AY36</f>
        <v/>
      </c>
      <c r="BV19" s="110" t="str">
        <f ca="1">RESULTADOS!AZ36</f>
        <v/>
      </c>
      <c r="BW19" s="110" t="str">
        <f ca="1">RESULTADOS!BA36</f>
        <v/>
      </c>
      <c r="BX19" s="110" t="str">
        <f ca="1">RESULTADOS!BB36</f>
        <v/>
      </c>
      <c r="BY19" s="110" t="str">
        <f ca="1">RESULTADOS!BC36</f>
        <v/>
      </c>
      <c r="BZ19" s="110" t="str">
        <f ca="1">RESULTADOS!BD36</f>
        <v/>
      </c>
      <c r="CA19" s="110" t="str">
        <f ca="1">RESULTADOS!BE36</f>
        <v/>
      </c>
      <c r="CB19" s="110" t="str">
        <f ca="1">RESULTADOS!BF36</f>
        <v/>
      </c>
      <c r="CC19" s="110" t="str">
        <f ca="1">RESULTADOS!BG36</f>
        <v/>
      </c>
      <c r="CD19" s="110" t="str">
        <f ca="1">RESULTADOS!BH36</f>
        <v/>
      </c>
      <c r="CE19" s="110" t="str">
        <f ca="1">RESULTADOS!BI36</f>
        <v/>
      </c>
      <c r="CF19" s="110" t="str">
        <f ca="1">RESULTADOS!BJ36</f>
        <v/>
      </c>
      <c r="CG19" s="110" t="str">
        <f ca="1">RESULTADOS!BK36</f>
        <v/>
      </c>
      <c r="CH19" s="110" t="str">
        <f ca="1">RESULTADOS!BL36</f>
        <v/>
      </c>
      <c r="CI19" s="110" t="str">
        <f ca="1">RESULTADOS!BM36</f>
        <v/>
      </c>
      <c r="CJ19" s="110" t="str">
        <f ca="1">RESULTADOS!BN36</f>
        <v/>
      </c>
      <c r="CK19" s="110" t="str">
        <f ca="1">RESULTADOS!BO36</f>
        <v/>
      </c>
      <c r="CL19" s="110" t="str">
        <f ca="1">RESULTADOS!BP36</f>
        <v/>
      </c>
      <c r="CM19" s="110" t="str">
        <f ca="1">RESULTADOS!BQ36</f>
        <v/>
      </c>
      <c r="CN19" s="110" t="str">
        <f ca="1">RESULTADOS!BR36</f>
        <v/>
      </c>
      <c r="CO19" s="110" t="str">
        <f ca="1">RESULTADOS!BS36</f>
        <v/>
      </c>
      <c r="CP19" s="110" t="str">
        <f ca="1">RESULTADOS!BT36</f>
        <v/>
      </c>
      <c r="CQ19" s="110" t="str">
        <f ca="1">RESULTADOS!BU36</f>
        <v/>
      </c>
      <c r="CR19" s="110" t="str">
        <f ca="1">RESULTADOS!BV36</f>
        <v/>
      </c>
      <c r="CS19" s="110" t="str">
        <f ca="1">RESULTADOS!BW36</f>
        <v/>
      </c>
      <c r="CT19" s="110" t="str">
        <f ca="1">RESULTADOS!BX36</f>
        <v/>
      </c>
      <c r="CU19" s="110" t="str">
        <f ca="1">RESULTADOS!BY36</f>
        <v/>
      </c>
      <c r="CV19" s="110" t="str">
        <f ca="1">RESULTADOS!BZ36</f>
        <v/>
      </c>
      <c r="CW19" s="110" t="str">
        <f ca="1">RESULTADOS!CA36</f>
        <v/>
      </c>
      <c r="CX19" s="110" t="str">
        <f ca="1">RESULTADOS!CB36</f>
        <v/>
      </c>
      <c r="CY19" s="110" t="str">
        <f ca="1">RESULTADOS!CC36</f>
        <v/>
      </c>
      <c r="CZ19" s="110" t="str">
        <f ca="1">RESULTADOS!CD36</f>
        <v/>
      </c>
      <c r="DA19" s="110" t="str">
        <f ca="1">RESULTADOS!CE36</f>
        <v/>
      </c>
      <c r="DB19" s="110" t="str">
        <f ca="1">RESULTADOS!CF36</f>
        <v/>
      </c>
      <c r="DC19" s="110" t="str">
        <f ca="1">RESULTADOS!CG36</f>
        <v/>
      </c>
      <c r="DD19" s="110" t="str">
        <f ca="1">RESULTADOS!CH36</f>
        <v/>
      </c>
      <c r="DE19" s="110" t="str">
        <f ca="1">RESULTADOS!CI36</f>
        <v/>
      </c>
      <c r="DF19" s="110" t="str">
        <f ca="1">RESULTADOS!CJ36</f>
        <v/>
      </c>
      <c r="DG19" s="110" t="str">
        <f ca="1">RESULTADOS!CK36</f>
        <v/>
      </c>
      <c r="DH19" s="110" t="str">
        <f ca="1">RESULTADOS!CL36</f>
        <v/>
      </c>
      <c r="DI19" s="110" t="str">
        <f ca="1">RESULTADOS!CM36</f>
        <v/>
      </c>
      <c r="DJ19" s="110" t="str">
        <f ca="1">RESULTADOS!CN36</f>
        <v/>
      </c>
      <c r="DK19" s="110" t="str">
        <f ca="1">RESULTADOS!CO36</f>
        <v/>
      </c>
      <c r="DL19" s="110" t="str">
        <f ca="1">RESULTADOS!CP36</f>
        <v/>
      </c>
      <c r="DM19" s="110" t="str">
        <f ca="1">RESULTADOS!CQ36</f>
        <v/>
      </c>
      <c r="DN19" s="110" t="str">
        <f ca="1">RESULTADOS!CR36</f>
        <v/>
      </c>
      <c r="DO19" s="112" t="str">
        <f>RESULTADOS!B77</f>
        <v/>
      </c>
      <c r="DP19" s="112" t="str">
        <f>RESULTADOS!C77</f>
        <v/>
      </c>
      <c r="DQ19" s="112" t="str">
        <f t="shared" si="1"/>
        <v/>
      </c>
      <c r="DR19" s="112" t="str" cm="1">
        <f t="array" ref="DR19">IFERROR(INDEX('03.Muestra'!$E$8:$E$42,SMALL(IF("Documento no web"='03.Muestra'!$D$8:$D$42,ROW('03.Muestra'!$E$8:$E$42)-MIN(ROW('03.Muestra'!$D$8:$D$42))+1,""),ROW()-2)),"")</f>
        <v/>
      </c>
      <c r="DS19" s="112" t="str">
        <f>RESULTADOS!D77</f>
        <v/>
      </c>
      <c r="DT19" s="112" t="str" cm="1">
        <f t="array" ref="DT19">IFERROR(INDEX('03.Muestra'!$G$8:$G$42,SMALL(IF("Documento no web"='03.Muestra'!$D$8:$D$42,ROW('03.Muestra'!$G$8:$G$42)-MIN(ROW('03.Muestra'!$D$8:$D$42))+1,""),ROW()-2)),"")</f>
        <v/>
      </c>
      <c r="DU19" s="187" t="str" cm="1">
        <f t="array" ref="DU19">IFERROR(INDEX('03.Muestra'!$H$8:$H$42,SMALL(IF("Documento no web"='03.Muestra'!$D$8:$D$42,ROW('03.Muestra'!$H$8:$H$42)-MIN(ROW('03.Muestra'!$D$8:$D$42))+1,""),ROW()-2)),"")</f>
        <v/>
      </c>
      <c r="DV19" s="110" t="str">
        <f ca="1">RESULTADOS!E77</f>
        <v/>
      </c>
      <c r="DW19" s="110" t="str">
        <f ca="1">RESULTADOS!F77</f>
        <v/>
      </c>
      <c r="DX19" s="110" t="str">
        <f ca="1">RESULTADOS!G77</f>
        <v/>
      </c>
      <c r="DY19" s="110" t="str">
        <f ca="1">RESULTADOS!H77</f>
        <v/>
      </c>
      <c r="DZ19" s="110" t="str">
        <f ca="1">RESULTADOS!I77</f>
        <v/>
      </c>
      <c r="EA19" s="110" t="str">
        <f ca="1">RESULTADOS!J77</f>
        <v/>
      </c>
      <c r="EB19" s="110" t="str">
        <f ca="1">RESULTADOS!K77</f>
        <v/>
      </c>
      <c r="EC19" s="110" t="str">
        <f ca="1">RESULTADOS!L77</f>
        <v/>
      </c>
      <c r="ED19" s="110" t="str">
        <f ca="1">RESULTADOS!M77</f>
        <v/>
      </c>
      <c r="EE19" s="110" t="str">
        <f ca="1">RESULTADOS!N77</f>
        <v/>
      </c>
      <c r="EF19" s="110" t="str">
        <f ca="1">RESULTADOS!O77</f>
        <v/>
      </c>
      <c r="EG19" s="110" t="str">
        <f ca="1">RESULTADOS!P77</f>
        <v/>
      </c>
      <c r="EH19" s="110" t="str">
        <f ca="1">RESULTADOS!Q77</f>
        <v/>
      </c>
      <c r="EI19" s="110" t="str">
        <f ca="1">RESULTADOS!R77</f>
        <v/>
      </c>
      <c r="EJ19" s="110" t="str">
        <f ca="1">RESULTADOS!S77</f>
        <v/>
      </c>
      <c r="EK19" s="110" t="str">
        <f ca="1">RESULTADOS!T77</f>
        <v/>
      </c>
      <c r="EL19" s="110" t="str">
        <f ca="1">RESULTADOS!U77</f>
        <v/>
      </c>
      <c r="EM19" s="110" t="str">
        <f ca="1">RESULTADOS!V77</f>
        <v/>
      </c>
      <c r="EN19" s="110" t="str">
        <f ca="1">RESULTADOS!W77</f>
        <v/>
      </c>
      <c r="EO19" s="110" t="str">
        <f ca="1">RESULTADOS!X77</f>
        <v/>
      </c>
      <c r="EP19" s="110" t="str">
        <f ca="1">RESULTADOS!Y77</f>
        <v/>
      </c>
      <c r="EQ19" s="110" t="str">
        <f ca="1">RESULTADOS!Z77</f>
        <v/>
      </c>
      <c r="ER19" s="110" t="str">
        <f ca="1">RESULTADOS!AA77</f>
        <v/>
      </c>
      <c r="ES19" s="110" t="str">
        <f ca="1">RESULTADOS!AB77</f>
        <v/>
      </c>
      <c r="ET19" s="110" t="str">
        <f ca="1">RESULTADOS!AC77</f>
        <v/>
      </c>
      <c r="EU19" s="110" t="str">
        <f ca="1">RESULTADOS!AD77</f>
        <v/>
      </c>
      <c r="EV19" s="110" t="str">
        <f ca="1">RESULTADOS!AE77</f>
        <v/>
      </c>
      <c r="EW19" s="110" t="str">
        <f ca="1">RESULTADOS!AF77</f>
        <v/>
      </c>
      <c r="EX19" s="110" t="str">
        <f ca="1">RESULTADOS!AG77</f>
        <v/>
      </c>
      <c r="EY19" s="110" t="str">
        <f ca="1">RESULTADOS!AH77</f>
        <v/>
      </c>
      <c r="EZ19" s="110" t="str">
        <f ca="1">RESULTADOS!AI77</f>
        <v/>
      </c>
      <c r="FA19" s="110" t="str">
        <f ca="1">RESULTADOS!AJ77</f>
        <v/>
      </c>
      <c r="FB19" s="110" t="str">
        <f ca="1">RESULTADOS!AK77</f>
        <v/>
      </c>
      <c r="FC19" s="110" t="str">
        <f ca="1">RESULTADOS!AL77</f>
        <v/>
      </c>
      <c r="FD19" s="110" t="str">
        <f ca="1">RESULTADOS!AM77</f>
        <v/>
      </c>
      <c r="FE19" s="110" t="str">
        <f ca="1">RESULTADOS!AN77</f>
        <v/>
      </c>
      <c r="FF19" s="110" t="str">
        <f ca="1">RESULTADOS!AO77</f>
        <v/>
      </c>
      <c r="FG19" s="110" t="str">
        <f ca="1">RESULTADOS!AP77</f>
        <v/>
      </c>
      <c r="FH19" s="110" t="str">
        <f ca="1">RESULTADOS!AQ77</f>
        <v/>
      </c>
      <c r="FI19" s="110" t="str">
        <f ca="1">RESULTADOS!AR77</f>
        <v/>
      </c>
      <c r="FJ19" s="110" t="str">
        <f ca="1">RESULTADOS!AS77</f>
        <v/>
      </c>
      <c r="FK19" s="110" t="str">
        <f ca="1">RESULTADOS!AT77</f>
        <v/>
      </c>
      <c r="FL19" s="110" t="str">
        <f ca="1">RESULTADOS!AU77</f>
        <v/>
      </c>
      <c r="FM19" s="110" t="str">
        <f ca="1">RESULTADOS!AV77</f>
        <v/>
      </c>
      <c r="FN19" s="110" t="str">
        <f ca="1">RESULTADOS!AW77</f>
        <v/>
      </c>
    </row>
    <row r="20" spans="3:170" ht="13">
      <c r="C20" s="108" t="s">
        <v>38</v>
      </c>
      <c r="D20" s="111" t="str">
        <f>'01.Definición de ámbito'!D50</f>
        <v>No</v>
      </c>
      <c r="K20" t="s">
        <v>96</v>
      </c>
      <c r="L20" s="112">
        <f ca="1">RESULTADOS!L10</f>
        <v>812</v>
      </c>
      <c r="M20" s="170">
        <f ca="1">RESULTADOS!M10</f>
        <v>0.63043478260869568</v>
      </c>
      <c r="T20" s="112" t="str">
        <f>RESULTADOS!B37</f>
        <v/>
      </c>
      <c r="U20" s="112" t="str">
        <f>RESULTADOS!C37</f>
        <v/>
      </c>
      <c r="V20" s="112" t="str">
        <f t="shared" si="0"/>
        <v/>
      </c>
      <c r="W20" s="112" t="str">
        <v/>
      </c>
      <c r="X20" s="112" t="str">
        <f>RESULTADOS!D37</f>
        <v/>
      </c>
      <c r="Y20" s="112" t="str">
        <v/>
      </c>
      <c r="Z20" s="187" t="str">
        <v/>
      </c>
      <c r="AA20" s="110" t="str">
        <f ca="1">RESULTADOS!E37</f>
        <v/>
      </c>
      <c r="AB20" s="110" t="str">
        <f ca="1">RESULTADOS!F37</f>
        <v/>
      </c>
      <c r="AC20" s="110" t="str">
        <f ca="1">RESULTADOS!G37</f>
        <v/>
      </c>
      <c r="AD20" s="110" t="str">
        <f ca="1">RESULTADOS!H37</f>
        <v/>
      </c>
      <c r="AE20" s="110" t="str">
        <f ca="1">RESULTADOS!I37</f>
        <v/>
      </c>
      <c r="AF20" s="110" t="str">
        <f ca="1">RESULTADOS!J37</f>
        <v/>
      </c>
      <c r="AG20" s="110" t="str">
        <f ca="1">RESULTADOS!K37</f>
        <v/>
      </c>
      <c r="AH20" s="110" t="str">
        <f ca="1">RESULTADOS!L37</f>
        <v/>
      </c>
      <c r="AI20" s="110" t="str">
        <f ca="1">RESULTADOS!M37</f>
        <v/>
      </c>
      <c r="AJ20" s="110" t="str">
        <f ca="1">RESULTADOS!N37</f>
        <v/>
      </c>
      <c r="AK20" s="110" t="str">
        <f ca="1">RESULTADOS!O37</f>
        <v/>
      </c>
      <c r="AL20" s="110" t="str">
        <f ca="1">RESULTADOS!P37</f>
        <v/>
      </c>
      <c r="AM20" s="110" t="str">
        <f ca="1">RESULTADOS!Q37</f>
        <v/>
      </c>
      <c r="AN20" s="110" t="str">
        <f ca="1">RESULTADOS!R37</f>
        <v/>
      </c>
      <c r="AO20" s="110" t="str">
        <f ca="1">RESULTADOS!S37</f>
        <v/>
      </c>
      <c r="AP20" s="110" t="str">
        <f ca="1">RESULTADOS!T37</f>
        <v/>
      </c>
      <c r="AQ20" s="110" t="str">
        <f ca="1">RESULTADOS!U37</f>
        <v/>
      </c>
      <c r="AR20" s="110" t="str">
        <f ca="1">RESULTADOS!V37</f>
        <v/>
      </c>
      <c r="AS20" s="110" t="str">
        <f ca="1">RESULTADOS!W37</f>
        <v/>
      </c>
      <c r="AT20" s="110" t="str">
        <f ca="1">RESULTADOS!X37</f>
        <v/>
      </c>
      <c r="AU20" s="110" t="str">
        <f ca="1">RESULTADOS!Y37</f>
        <v/>
      </c>
      <c r="AV20" s="110" t="str">
        <f ca="1">RESULTADOS!Z37</f>
        <v/>
      </c>
      <c r="AW20" s="110" t="str">
        <f ca="1">RESULTADOS!AA37</f>
        <v/>
      </c>
      <c r="AX20" s="110" t="str">
        <f ca="1">RESULTADOS!AB37</f>
        <v/>
      </c>
      <c r="AY20" s="110" t="str">
        <f ca="1">RESULTADOS!AC37</f>
        <v/>
      </c>
      <c r="AZ20" s="110" t="str">
        <f ca="1">RESULTADOS!AD37</f>
        <v/>
      </c>
      <c r="BA20" s="110" t="str">
        <f ca="1">RESULTADOS!AE37</f>
        <v/>
      </c>
      <c r="BB20" s="110" t="str">
        <f ca="1">RESULTADOS!AF37</f>
        <v/>
      </c>
      <c r="BC20" s="110" t="str">
        <f ca="1">RESULTADOS!AG37</f>
        <v/>
      </c>
      <c r="BD20" s="110" t="str">
        <f ca="1">RESULTADOS!AH37</f>
        <v/>
      </c>
      <c r="BE20" s="110" t="str">
        <f ca="1">RESULTADOS!AI37</f>
        <v/>
      </c>
      <c r="BF20" s="110" t="str">
        <f ca="1">RESULTADOS!AJ37</f>
        <v/>
      </c>
      <c r="BG20" s="110" t="str">
        <f ca="1">RESULTADOS!AK37</f>
        <v/>
      </c>
      <c r="BH20" s="110" t="str">
        <f ca="1">RESULTADOS!AL37</f>
        <v/>
      </c>
      <c r="BI20" s="110" t="str">
        <f ca="1">RESULTADOS!AM37</f>
        <v/>
      </c>
      <c r="BJ20" s="110" t="str">
        <f ca="1">RESULTADOS!AN37</f>
        <v/>
      </c>
      <c r="BK20" s="110" t="str">
        <f ca="1">RESULTADOS!AO37</f>
        <v/>
      </c>
      <c r="BL20" s="110" t="str">
        <f ca="1">RESULTADOS!AP37</f>
        <v/>
      </c>
      <c r="BM20" s="110" t="str">
        <f ca="1">RESULTADOS!AQ37</f>
        <v/>
      </c>
      <c r="BN20" s="110" t="str">
        <f ca="1">RESULTADOS!AR37</f>
        <v/>
      </c>
      <c r="BO20" s="110" t="str">
        <f ca="1">RESULTADOS!AS37</f>
        <v/>
      </c>
      <c r="BP20" s="110" t="str">
        <f ca="1">RESULTADOS!AT37</f>
        <v/>
      </c>
      <c r="BQ20" s="110" t="str">
        <f ca="1">RESULTADOS!AU37</f>
        <v/>
      </c>
      <c r="BR20" s="110" t="str">
        <f ca="1">RESULTADOS!AV37</f>
        <v/>
      </c>
      <c r="BS20" s="110" t="str">
        <f ca="1">RESULTADOS!AW37</f>
        <v/>
      </c>
      <c r="BT20" s="110" t="str">
        <f ca="1">RESULTADOS!AX37</f>
        <v/>
      </c>
      <c r="BU20" s="110" t="str">
        <f ca="1">RESULTADOS!AY37</f>
        <v/>
      </c>
      <c r="BV20" s="110" t="str">
        <f ca="1">RESULTADOS!AZ37</f>
        <v/>
      </c>
      <c r="BW20" s="110" t="str">
        <f ca="1">RESULTADOS!BA37</f>
        <v/>
      </c>
      <c r="BX20" s="110" t="str">
        <f ca="1">RESULTADOS!BB37</f>
        <v/>
      </c>
      <c r="BY20" s="110" t="str">
        <f ca="1">RESULTADOS!BC37</f>
        <v/>
      </c>
      <c r="BZ20" s="110" t="str">
        <f ca="1">RESULTADOS!BD37</f>
        <v/>
      </c>
      <c r="CA20" s="110" t="str">
        <f ca="1">RESULTADOS!BE37</f>
        <v/>
      </c>
      <c r="CB20" s="110" t="str">
        <f ca="1">RESULTADOS!BF37</f>
        <v/>
      </c>
      <c r="CC20" s="110" t="str">
        <f ca="1">RESULTADOS!BG37</f>
        <v/>
      </c>
      <c r="CD20" s="110" t="str">
        <f ca="1">RESULTADOS!BH37</f>
        <v/>
      </c>
      <c r="CE20" s="110" t="str">
        <f ca="1">RESULTADOS!BI37</f>
        <v/>
      </c>
      <c r="CF20" s="110" t="str">
        <f ca="1">RESULTADOS!BJ37</f>
        <v/>
      </c>
      <c r="CG20" s="110" t="str">
        <f ca="1">RESULTADOS!BK37</f>
        <v/>
      </c>
      <c r="CH20" s="110" t="str">
        <f ca="1">RESULTADOS!BL37</f>
        <v/>
      </c>
      <c r="CI20" s="110" t="str">
        <f ca="1">RESULTADOS!BM37</f>
        <v/>
      </c>
      <c r="CJ20" s="110" t="str">
        <f ca="1">RESULTADOS!BN37</f>
        <v/>
      </c>
      <c r="CK20" s="110" t="str">
        <f ca="1">RESULTADOS!BO37</f>
        <v/>
      </c>
      <c r="CL20" s="110" t="str">
        <f ca="1">RESULTADOS!BP37</f>
        <v/>
      </c>
      <c r="CM20" s="110" t="str">
        <f ca="1">RESULTADOS!BQ37</f>
        <v/>
      </c>
      <c r="CN20" s="110" t="str">
        <f ca="1">RESULTADOS!BR37</f>
        <v/>
      </c>
      <c r="CO20" s="110" t="str">
        <f ca="1">RESULTADOS!BS37</f>
        <v/>
      </c>
      <c r="CP20" s="110" t="str">
        <f ca="1">RESULTADOS!BT37</f>
        <v/>
      </c>
      <c r="CQ20" s="110" t="str">
        <f ca="1">RESULTADOS!BU37</f>
        <v/>
      </c>
      <c r="CR20" s="110" t="str">
        <f ca="1">RESULTADOS!BV37</f>
        <v/>
      </c>
      <c r="CS20" s="110" t="str">
        <f ca="1">RESULTADOS!BW37</f>
        <v/>
      </c>
      <c r="CT20" s="110" t="str">
        <f ca="1">RESULTADOS!BX37</f>
        <v/>
      </c>
      <c r="CU20" s="110" t="str">
        <f ca="1">RESULTADOS!BY37</f>
        <v/>
      </c>
      <c r="CV20" s="110" t="str">
        <f ca="1">RESULTADOS!BZ37</f>
        <v/>
      </c>
      <c r="CW20" s="110" t="str">
        <f ca="1">RESULTADOS!CA37</f>
        <v/>
      </c>
      <c r="CX20" s="110" t="str">
        <f ca="1">RESULTADOS!CB37</f>
        <v/>
      </c>
      <c r="CY20" s="110" t="str">
        <f ca="1">RESULTADOS!CC37</f>
        <v/>
      </c>
      <c r="CZ20" s="110" t="str">
        <f ca="1">RESULTADOS!CD37</f>
        <v/>
      </c>
      <c r="DA20" s="110" t="str">
        <f ca="1">RESULTADOS!CE37</f>
        <v/>
      </c>
      <c r="DB20" s="110" t="str">
        <f ca="1">RESULTADOS!CF37</f>
        <v/>
      </c>
      <c r="DC20" s="110" t="str">
        <f ca="1">RESULTADOS!CG37</f>
        <v/>
      </c>
      <c r="DD20" s="110" t="str">
        <f ca="1">RESULTADOS!CH37</f>
        <v/>
      </c>
      <c r="DE20" s="110" t="str">
        <f ca="1">RESULTADOS!CI37</f>
        <v/>
      </c>
      <c r="DF20" s="110" t="str">
        <f ca="1">RESULTADOS!CJ37</f>
        <v/>
      </c>
      <c r="DG20" s="110" t="str">
        <f ca="1">RESULTADOS!CK37</f>
        <v/>
      </c>
      <c r="DH20" s="110" t="str">
        <f ca="1">RESULTADOS!CL37</f>
        <v/>
      </c>
      <c r="DI20" s="110" t="str">
        <f ca="1">RESULTADOS!CM37</f>
        <v/>
      </c>
      <c r="DJ20" s="110" t="str">
        <f ca="1">RESULTADOS!CN37</f>
        <v/>
      </c>
      <c r="DK20" s="110" t="str">
        <f ca="1">RESULTADOS!CO37</f>
        <v/>
      </c>
      <c r="DL20" s="110" t="str">
        <f ca="1">RESULTADOS!CP37</f>
        <v/>
      </c>
      <c r="DM20" s="110" t="str">
        <f ca="1">RESULTADOS!CQ37</f>
        <v/>
      </c>
      <c r="DN20" s="110" t="str">
        <f ca="1">RESULTADOS!CR37</f>
        <v/>
      </c>
      <c r="DO20" s="112" t="str">
        <f>RESULTADOS!B78</f>
        <v/>
      </c>
      <c r="DP20" s="112" t="str">
        <f>RESULTADOS!C78</f>
        <v/>
      </c>
      <c r="DQ20" s="112" t="str">
        <f t="shared" si="1"/>
        <v/>
      </c>
      <c r="DR20" s="112" t="str" cm="1">
        <f t="array" ref="DR20">IFERROR(INDEX('03.Muestra'!$E$8:$E$42,SMALL(IF("Documento no web"='03.Muestra'!$D$8:$D$42,ROW('03.Muestra'!$E$8:$E$42)-MIN(ROW('03.Muestra'!$D$8:$D$42))+1,""),ROW()-2)),"")</f>
        <v/>
      </c>
      <c r="DS20" s="112" t="str">
        <f>RESULTADOS!D78</f>
        <v/>
      </c>
      <c r="DT20" s="112" t="str" cm="1">
        <f t="array" ref="DT20">IFERROR(INDEX('03.Muestra'!$G$8:$G$42,SMALL(IF("Documento no web"='03.Muestra'!$D$8:$D$42,ROW('03.Muestra'!$G$8:$G$42)-MIN(ROW('03.Muestra'!$D$8:$D$42))+1,""),ROW()-2)),"")</f>
        <v/>
      </c>
      <c r="DU20" s="187" t="str" cm="1">
        <f t="array" ref="DU20">IFERROR(INDEX('03.Muestra'!$H$8:$H$42,SMALL(IF("Documento no web"='03.Muestra'!$D$8:$D$42,ROW('03.Muestra'!$H$8:$H$42)-MIN(ROW('03.Muestra'!$D$8:$D$42))+1,""),ROW()-2)),"")</f>
        <v/>
      </c>
      <c r="DV20" s="110" t="str">
        <f ca="1">RESULTADOS!E78</f>
        <v/>
      </c>
      <c r="DW20" s="110" t="str">
        <f ca="1">RESULTADOS!F78</f>
        <v/>
      </c>
      <c r="DX20" s="110" t="str">
        <f ca="1">RESULTADOS!G78</f>
        <v/>
      </c>
      <c r="DY20" s="110" t="str">
        <f ca="1">RESULTADOS!H78</f>
        <v/>
      </c>
      <c r="DZ20" s="110" t="str">
        <f ca="1">RESULTADOS!I78</f>
        <v/>
      </c>
      <c r="EA20" s="110" t="str">
        <f ca="1">RESULTADOS!J78</f>
        <v/>
      </c>
      <c r="EB20" s="110" t="str">
        <f ca="1">RESULTADOS!K78</f>
        <v/>
      </c>
      <c r="EC20" s="110" t="str">
        <f ca="1">RESULTADOS!L78</f>
        <v/>
      </c>
      <c r="ED20" s="110" t="str">
        <f ca="1">RESULTADOS!M78</f>
        <v/>
      </c>
      <c r="EE20" s="110" t="str">
        <f ca="1">RESULTADOS!N78</f>
        <v/>
      </c>
      <c r="EF20" s="110" t="str">
        <f ca="1">RESULTADOS!O78</f>
        <v/>
      </c>
      <c r="EG20" s="110" t="str">
        <f ca="1">RESULTADOS!P78</f>
        <v/>
      </c>
      <c r="EH20" s="110" t="str">
        <f ca="1">RESULTADOS!Q78</f>
        <v/>
      </c>
      <c r="EI20" s="110" t="str">
        <f ca="1">RESULTADOS!R78</f>
        <v/>
      </c>
      <c r="EJ20" s="110" t="str">
        <f ca="1">RESULTADOS!S78</f>
        <v/>
      </c>
      <c r="EK20" s="110" t="str">
        <f ca="1">RESULTADOS!T78</f>
        <v/>
      </c>
      <c r="EL20" s="110" t="str">
        <f ca="1">RESULTADOS!U78</f>
        <v/>
      </c>
      <c r="EM20" s="110" t="str">
        <f ca="1">RESULTADOS!V78</f>
        <v/>
      </c>
      <c r="EN20" s="110" t="str">
        <f ca="1">RESULTADOS!W78</f>
        <v/>
      </c>
      <c r="EO20" s="110" t="str">
        <f ca="1">RESULTADOS!X78</f>
        <v/>
      </c>
      <c r="EP20" s="110" t="str">
        <f ca="1">RESULTADOS!Y78</f>
        <v/>
      </c>
      <c r="EQ20" s="110" t="str">
        <f ca="1">RESULTADOS!Z78</f>
        <v/>
      </c>
      <c r="ER20" s="110" t="str">
        <f ca="1">RESULTADOS!AA78</f>
        <v/>
      </c>
      <c r="ES20" s="110" t="str">
        <f ca="1">RESULTADOS!AB78</f>
        <v/>
      </c>
      <c r="ET20" s="110" t="str">
        <f ca="1">RESULTADOS!AC78</f>
        <v/>
      </c>
      <c r="EU20" s="110" t="str">
        <f ca="1">RESULTADOS!AD78</f>
        <v/>
      </c>
      <c r="EV20" s="110" t="str">
        <f ca="1">RESULTADOS!AE78</f>
        <v/>
      </c>
      <c r="EW20" s="110" t="str">
        <f ca="1">RESULTADOS!AF78</f>
        <v/>
      </c>
      <c r="EX20" s="110" t="str">
        <f ca="1">RESULTADOS!AG78</f>
        <v/>
      </c>
      <c r="EY20" s="110" t="str">
        <f ca="1">RESULTADOS!AH78</f>
        <v/>
      </c>
      <c r="EZ20" s="110" t="str">
        <f ca="1">RESULTADOS!AI78</f>
        <v/>
      </c>
      <c r="FA20" s="110" t="str">
        <f ca="1">RESULTADOS!AJ78</f>
        <v/>
      </c>
      <c r="FB20" s="110" t="str">
        <f ca="1">RESULTADOS!AK78</f>
        <v/>
      </c>
      <c r="FC20" s="110" t="str">
        <f ca="1">RESULTADOS!AL78</f>
        <v/>
      </c>
      <c r="FD20" s="110" t="str">
        <f ca="1">RESULTADOS!AM78</f>
        <v/>
      </c>
      <c r="FE20" s="110" t="str">
        <f ca="1">RESULTADOS!AN78</f>
        <v/>
      </c>
      <c r="FF20" s="110" t="str">
        <f ca="1">RESULTADOS!AO78</f>
        <v/>
      </c>
      <c r="FG20" s="110" t="str">
        <f ca="1">RESULTADOS!AP78</f>
        <v/>
      </c>
      <c r="FH20" s="110" t="str">
        <f ca="1">RESULTADOS!AQ78</f>
        <v/>
      </c>
      <c r="FI20" s="110" t="str">
        <f ca="1">RESULTADOS!AR78</f>
        <v/>
      </c>
      <c r="FJ20" s="110" t="str">
        <f ca="1">RESULTADOS!AS78</f>
        <v/>
      </c>
      <c r="FK20" s="110" t="str">
        <f ca="1">RESULTADOS!AT78</f>
        <v/>
      </c>
      <c r="FL20" s="110" t="str">
        <f ca="1">RESULTADOS!AU78</f>
        <v/>
      </c>
      <c r="FM20" s="110" t="str">
        <f ca="1">RESULTADOS!AV78</f>
        <v/>
      </c>
      <c r="FN20" s="110" t="str">
        <f ca="1">RESULTADOS!AW78</f>
        <v/>
      </c>
    </row>
    <row r="21" spans="3:170" ht="13">
      <c r="C21" s="108" t="s">
        <v>39</v>
      </c>
      <c r="D21" s="111" t="str">
        <f>'01.Definición de ámbito'!D51</f>
        <v>No</v>
      </c>
      <c r="K21" t="s">
        <v>265</v>
      </c>
      <c r="L21" s="112">
        <f ca="1">RESULTADOS!L11</f>
        <v>1288</v>
      </c>
      <c r="M21" s="170">
        <f ca="1">RESULTADOS!M11</f>
        <v>1</v>
      </c>
      <c r="T21" s="112" t="str">
        <f>RESULTADOS!B38</f>
        <v/>
      </c>
      <c r="U21" s="112" t="str">
        <f>RESULTADOS!C38</f>
        <v/>
      </c>
      <c r="V21" s="112" t="str">
        <f t="shared" si="0"/>
        <v/>
      </c>
      <c r="W21" s="112" t="str">
        <v/>
      </c>
      <c r="X21" s="112" t="str">
        <f>RESULTADOS!D38</f>
        <v/>
      </c>
      <c r="Y21" s="112" t="str">
        <v/>
      </c>
      <c r="Z21" s="187" t="str">
        <v/>
      </c>
      <c r="AA21" s="110" t="str">
        <f ca="1">RESULTADOS!E38</f>
        <v/>
      </c>
      <c r="AB21" s="110" t="str">
        <f ca="1">RESULTADOS!F38</f>
        <v/>
      </c>
      <c r="AC21" s="110" t="str">
        <f ca="1">RESULTADOS!G38</f>
        <v/>
      </c>
      <c r="AD21" s="110" t="str">
        <f ca="1">RESULTADOS!H38</f>
        <v/>
      </c>
      <c r="AE21" s="110" t="str">
        <f ca="1">RESULTADOS!I38</f>
        <v/>
      </c>
      <c r="AF21" s="110" t="str">
        <f ca="1">RESULTADOS!J38</f>
        <v/>
      </c>
      <c r="AG21" s="110" t="str">
        <f ca="1">RESULTADOS!K38</f>
        <v/>
      </c>
      <c r="AH21" s="110" t="str">
        <f ca="1">RESULTADOS!L38</f>
        <v/>
      </c>
      <c r="AI21" s="110" t="str">
        <f ca="1">RESULTADOS!M38</f>
        <v/>
      </c>
      <c r="AJ21" s="110" t="str">
        <f ca="1">RESULTADOS!N38</f>
        <v/>
      </c>
      <c r="AK21" s="110" t="str">
        <f ca="1">RESULTADOS!O38</f>
        <v/>
      </c>
      <c r="AL21" s="110" t="str">
        <f ca="1">RESULTADOS!P38</f>
        <v/>
      </c>
      <c r="AM21" s="110" t="str">
        <f ca="1">RESULTADOS!Q38</f>
        <v/>
      </c>
      <c r="AN21" s="110" t="str">
        <f ca="1">RESULTADOS!R38</f>
        <v/>
      </c>
      <c r="AO21" s="110" t="str">
        <f ca="1">RESULTADOS!S38</f>
        <v/>
      </c>
      <c r="AP21" s="110" t="str">
        <f ca="1">RESULTADOS!T38</f>
        <v/>
      </c>
      <c r="AQ21" s="110" t="str">
        <f ca="1">RESULTADOS!U38</f>
        <v/>
      </c>
      <c r="AR21" s="110" t="str">
        <f ca="1">RESULTADOS!V38</f>
        <v/>
      </c>
      <c r="AS21" s="110" t="str">
        <f ca="1">RESULTADOS!W38</f>
        <v/>
      </c>
      <c r="AT21" s="110" t="str">
        <f ca="1">RESULTADOS!X38</f>
        <v/>
      </c>
      <c r="AU21" s="110" t="str">
        <f ca="1">RESULTADOS!Y38</f>
        <v/>
      </c>
      <c r="AV21" s="110" t="str">
        <f ca="1">RESULTADOS!Z38</f>
        <v/>
      </c>
      <c r="AW21" s="110" t="str">
        <f ca="1">RESULTADOS!AA38</f>
        <v/>
      </c>
      <c r="AX21" s="110" t="str">
        <f ca="1">RESULTADOS!AB38</f>
        <v/>
      </c>
      <c r="AY21" s="110" t="str">
        <f ca="1">RESULTADOS!AC38</f>
        <v/>
      </c>
      <c r="AZ21" s="110" t="str">
        <f ca="1">RESULTADOS!AD38</f>
        <v/>
      </c>
      <c r="BA21" s="110" t="str">
        <f ca="1">RESULTADOS!AE38</f>
        <v/>
      </c>
      <c r="BB21" s="110" t="str">
        <f ca="1">RESULTADOS!AF38</f>
        <v/>
      </c>
      <c r="BC21" s="110" t="str">
        <f ca="1">RESULTADOS!AG38</f>
        <v/>
      </c>
      <c r="BD21" s="110" t="str">
        <f ca="1">RESULTADOS!AH38</f>
        <v/>
      </c>
      <c r="BE21" s="110" t="str">
        <f ca="1">RESULTADOS!AI38</f>
        <v/>
      </c>
      <c r="BF21" s="110" t="str">
        <f ca="1">RESULTADOS!AJ38</f>
        <v/>
      </c>
      <c r="BG21" s="110" t="str">
        <f ca="1">RESULTADOS!AK38</f>
        <v/>
      </c>
      <c r="BH21" s="110" t="str">
        <f ca="1">RESULTADOS!AL38</f>
        <v/>
      </c>
      <c r="BI21" s="110" t="str">
        <f ca="1">RESULTADOS!AM38</f>
        <v/>
      </c>
      <c r="BJ21" s="110" t="str">
        <f ca="1">RESULTADOS!AN38</f>
        <v/>
      </c>
      <c r="BK21" s="110" t="str">
        <f ca="1">RESULTADOS!AO38</f>
        <v/>
      </c>
      <c r="BL21" s="110" t="str">
        <f ca="1">RESULTADOS!AP38</f>
        <v/>
      </c>
      <c r="BM21" s="110" t="str">
        <f ca="1">RESULTADOS!AQ38</f>
        <v/>
      </c>
      <c r="BN21" s="110" t="str">
        <f ca="1">RESULTADOS!AR38</f>
        <v/>
      </c>
      <c r="BO21" s="110" t="str">
        <f ca="1">RESULTADOS!AS38</f>
        <v/>
      </c>
      <c r="BP21" s="110" t="str">
        <f ca="1">RESULTADOS!AT38</f>
        <v/>
      </c>
      <c r="BQ21" s="110" t="str">
        <f ca="1">RESULTADOS!AU38</f>
        <v/>
      </c>
      <c r="BR21" s="110" t="str">
        <f ca="1">RESULTADOS!AV38</f>
        <v/>
      </c>
      <c r="BS21" s="110" t="str">
        <f ca="1">RESULTADOS!AW38</f>
        <v/>
      </c>
      <c r="BT21" s="110" t="str">
        <f ca="1">RESULTADOS!AX38</f>
        <v/>
      </c>
      <c r="BU21" s="110" t="str">
        <f ca="1">RESULTADOS!AY38</f>
        <v/>
      </c>
      <c r="BV21" s="110" t="str">
        <f ca="1">RESULTADOS!AZ38</f>
        <v/>
      </c>
      <c r="BW21" s="110" t="str">
        <f ca="1">RESULTADOS!BA38</f>
        <v/>
      </c>
      <c r="BX21" s="110" t="str">
        <f ca="1">RESULTADOS!BB38</f>
        <v/>
      </c>
      <c r="BY21" s="110" t="str">
        <f ca="1">RESULTADOS!BC38</f>
        <v/>
      </c>
      <c r="BZ21" s="110" t="str">
        <f ca="1">RESULTADOS!BD38</f>
        <v/>
      </c>
      <c r="CA21" s="110" t="str">
        <f ca="1">RESULTADOS!BE38</f>
        <v/>
      </c>
      <c r="CB21" s="110" t="str">
        <f ca="1">RESULTADOS!BF38</f>
        <v/>
      </c>
      <c r="CC21" s="110" t="str">
        <f ca="1">RESULTADOS!BG38</f>
        <v/>
      </c>
      <c r="CD21" s="110" t="str">
        <f ca="1">RESULTADOS!BH38</f>
        <v/>
      </c>
      <c r="CE21" s="110" t="str">
        <f ca="1">RESULTADOS!BI38</f>
        <v/>
      </c>
      <c r="CF21" s="110" t="str">
        <f ca="1">RESULTADOS!BJ38</f>
        <v/>
      </c>
      <c r="CG21" s="110" t="str">
        <f ca="1">RESULTADOS!BK38</f>
        <v/>
      </c>
      <c r="CH21" s="110" t="str">
        <f ca="1">RESULTADOS!BL38</f>
        <v/>
      </c>
      <c r="CI21" s="110" t="str">
        <f ca="1">RESULTADOS!BM38</f>
        <v/>
      </c>
      <c r="CJ21" s="110" t="str">
        <f ca="1">RESULTADOS!BN38</f>
        <v/>
      </c>
      <c r="CK21" s="110" t="str">
        <f ca="1">RESULTADOS!BO38</f>
        <v/>
      </c>
      <c r="CL21" s="110" t="str">
        <f ca="1">RESULTADOS!BP38</f>
        <v/>
      </c>
      <c r="CM21" s="110" t="str">
        <f ca="1">RESULTADOS!BQ38</f>
        <v/>
      </c>
      <c r="CN21" s="110" t="str">
        <f ca="1">RESULTADOS!BR38</f>
        <v/>
      </c>
      <c r="CO21" s="110" t="str">
        <f ca="1">RESULTADOS!BS38</f>
        <v/>
      </c>
      <c r="CP21" s="110" t="str">
        <f ca="1">RESULTADOS!BT38</f>
        <v/>
      </c>
      <c r="CQ21" s="110" t="str">
        <f ca="1">RESULTADOS!BU38</f>
        <v/>
      </c>
      <c r="CR21" s="110" t="str">
        <f ca="1">RESULTADOS!BV38</f>
        <v/>
      </c>
      <c r="CS21" s="110" t="str">
        <f ca="1">RESULTADOS!BW38</f>
        <v/>
      </c>
      <c r="CT21" s="110" t="str">
        <f ca="1">RESULTADOS!BX38</f>
        <v/>
      </c>
      <c r="CU21" s="110" t="str">
        <f ca="1">RESULTADOS!BY38</f>
        <v/>
      </c>
      <c r="CV21" s="110" t="str">
        <f ca="1">RESULTADOS!BZ38</f>
        <v/>
      </c>
      <c r="CW21" s="110" t="str">
        <f ca="1">RESULTADOS!CA38</f>
        <v/>
      </c>
      <c r="CX21" s="110" t="str">
        <f ca="1">RESULTADOS!CB38</f>
        <v/>
      </c>
      <c r="CY21" s="110" t="str">
        <f ca="1">RESULTADOS!CC38</f>
        <v/>
      </c>
      <c r="CZ21" s="110" t="str">
        <f ca="1">RESULTADOS!CD38</f>
        <v/>
      </c>
      <c r="DA21" s="110" t="str">
        <f ca="1">RESULTADOS!CE38</f>
        <v/>
      </c>
      <c r="DB21" s="110" t="str">
        <f ca="1">RESULTADOS!CF38</f>
        <v/>
      </c>
      <c r="DC21" s="110" t="str">
        <f ca="1">RESULTADOS!CG38</f>
        <v/>
      </c>
      <c r="DD21" s="110" t="str">
        <f ca="1">RESULTADOS!CH38</f>
        <v/>
      </c>
      <c r="DE21" s="110" t="str">
        <f ca="1">RESULTADOS!CI38</f>
        <v/>
      </c>
      <c r="DF21" s="110" t="str">
        <f ca="1">RESULTADOS!CJ38</f>
        <v/>
      </c>
      <c r="DG21" s="110" t="str">
        <f ca="1">RESULTADOS!CK38</f>
        <v/>
      </c>
      <c r="DH21" s="110" t="str">
        <f ca="1">RESULTADOS!CL38</f>
        <v/>
      </c>
      <c r="DI21" s="110" t="str">
        <f ca="1">RESULTADOS!CM38</f>
        <v/>
      </c>
      <c r="DJ21" s="110" t="str">
        <f ca="1">RESULTADOS!CN38</f>
        <v/>
      </c>
      <c r="DK21" s="110" t="str">
        <f ca="1">RESULTADOS!CO38</f>
        <v/>
      </c>
      <c r="DL21" s="110" t="str">
        <f ca="1">RESULTADOS!CP38</f>
        <v/>
      </c>
      <c r="DM21" s="110" t="str">
        <f ca="1">RESULTADOS!CQ38</f>
        <v/>
      </c>
      <c r="DN21" s="110" t="str">
        <f ca="1">RESULTADOS!CR38</f>
        <v/>
      </c>
      <c r="DO21" s="112" t="str">
        <f>RESULTADOS!B79</f>
        <v/>
      </c>
      <c r="DP21" s="112" t="str">
        <f>RESULTADOS!C79</f>
        <v/>
      </c>
      <c r="DQ21" s="112" t="str">
        <f t="shared" si="1"/>
        <v/>
      </c>
      <c r="DR21" s="112" t="str" cm="1">
        <f t="array" ref="DR21">IFERROR(INDEX('03.Muestra'!$E$8:$E$42,SMALL(IF("Documento no web"='03.Muestra'!$D$8:$D$42,ROW('03.Muestra'!$E$8:$E$42)-MIN(ROW('03.Muestra'!$D$8:$D$42))+1,""),ROW()-2)),"")</f>
        <v/>
      </c>
      <c r="DS21" s="112" t="str">
        <f>RESULTADOS!D79</f>
        <v/>
      </c>
      <c r="DT21" s="112" t="str" cm="1">
        <f t="array" ref="DT21">IFERROR(INDEX('03.Muestra'!$G$8:$G$42,SMALL(IF("Documento no web"='03.Muestra'!$D$8:$D$42,ROW('03.Muestra'!$G$8:$G$42)-MIN(ROW('03.Muestra'!$D$8:$D$42))+1,""),ROW()-2)),"")</f>
        <v/>
      </c>
      <c r="DU21" s="187" t="str" cm="1">
        <f t="array" ref="DU21">IFERROR(INDEX('03.Muestra'!$H$8:$H$42,SMALL(IF("Documento no web"='03.Muestra'!$D$8:$D$42,ROW('03.Muestra'!$H$8:$H$42)-MIN(ROW('03.Muestra'!$D$8:$D$42))+1,""),ROW()-2)),"")</f>
        <v/>
      </c>
      <c r="DV21" s="110" t="str">
        <f ca="1">RESULTADOS!E79</f>
        <v/>
      </c>
      <c r="DW21" s="110" t="str">
        <f ca="1">RESULTADOS!F79</f>
        <v/>
      </c>
      <c r="DX21" s="110" t="str">
        <f ca="1">RESULTADOS!G79</f>
        <v/>
      </c>
      <c r="DY21" s="110" t="str">
        <f ca="1">RESULTADOS!H79</f>
        <v/>
      </c>
      <c r="DZ21" s="110" t="str">
        <f ca="1">RESULTADOS!I79</f>
        <v/>
      </c>
      <c r="EA21" s="110" t="str">
        <f ca="1">RESULTADOS!J79</f>
        <v/>
      </c>
      <c r="EB21" s="110" t="str">
        <f ca="1">RESULTADOS!K79</f>
        <v/>
      </c>
      <c r="EC21" s="110" t="str">
        <f ca="1">RESULTADOS!L79</f>
        <v/>
      </c>
      <c r="ED21" s="110" t="str">
        <f ca="1">RESULTADOS!M79</f>
        <v/>
      </c>
      <c r="EE21" s="110" t="str">
        <f ca="1">RESULTADOS!N79</f>
        <v/>
      </c>
      <c r="EF21" s="110" t="str">
        <f ca="1">RESULTADOS!O79</f>
        <v/>
      </c>
      <c r="EG21" s="110" t="str">
        <f ca="1">RESULTADOS!P79</f>
        <v/>
      </c>
      <c r="EH21" s="110" t="str">
        <f ca="1">RESULTADOS!Q79</f>
        <v/>
      </c>
      <c r="EI21" s="110" t="str">
        <f ca="1">RESULTADOS!R79</f>
        <v/>
      </c>
      <c r="EJ21" s="110" t="str">
        <f ca="1">RESULTADOS!S79</f>
        <v/>
      </c>
      <c r="EK21" s="110" t="str">
        <f ca="1">RESULTADOS!T79</f>
        <v/>
      </c>
      <c r="EL21" s="110" t="str">
        <f ca="1">RESULTADOS!U79</f>
        <v/>
      </c>
      <c r="EM21" s="110" t="str">
        <f ca="1">RESULTADOS!V79</f>
        <v/>
      </c>
      <c r="EN21" s="110" t="str">
        <f ca="1">RESULTADOS!W79</f>
        <v/>
      </c>
      <c r="EO21" s="110" t="str">
        <f ca="1">RESULTADOS!X79</f>
        <v/>
      </c>
      <c r="EP21" s="110" t="str">
        <f ca="1">RESULTADOS!Y79</f>
        <v/>
      </c>
      <c r="EQ21" s="110" t="str">
        <f ca="1">RESULTADOS!Z79</f>
        <v/>
      </c>
      <c r="ER21" s="110" t="str">
        <f ca="1">RESULTADOS!AA79</f>
        <v/>
      </c>
      <c r="ES21" s="110" t="str">
        <f ca="1">RESULTADOS!AB79</f>
        <v/>
      </c>
      <c r="ET21" s="110" t="str">
        <f ca="1">RESULTADOS!AC79</f>
        <v/>
      </c>
      <c r="EU21" s="110" t="str">
        <f ca="1">RESULTADOS!AD79</f>
        <v/>
      </c>
      <c r="EV21" s="110" t="str">
        <f ca="1">RESULTADOS!AE79</f>
        <v/>
      </c>
      <c r="EW21" s="110" t="str">
        <f ca="1">RESULTADOS!AF79</f>
        <v/>
      </c>
      <c r="EX21" s="110" t="str">
        <f ca="1">RESULTADOS!AG79</f>
        <v/>
      </c>
      <c r="EY21" s="110" t="str">
        <f ca="1">RESULTADOS!AH79</f>
        <v/>
      </c>
      <c r="EZ21" s="110" t="str">
        <f ca="1">RESULTADOS!AI79</f>
        <v/>
      </c>
      <c r="FA21" s="110" t="str">
        <f ca="1">RESULTADOS!AJ79</f>
        <v/>
      </c>
      <c r="FB21" s="110" t="str">
        <f ca="1">RESULTADOS!AK79</f>
        <v/>
      </c>
      <c r="FC21" s="110" t="str">
        <f ca="1">RESULTADOS!AL79</f>
        <v/>
      </c>
      <c r="FD21" s="110" t="str">
        <f ca="1">RESULTADOS!AM79</f>
        <v/>
      </c>
      <c r="FE21" s="110" t="str">
        <f ca="1">RESULTADOS!AN79</f>
        <v/>
      </c>
      <c r="FF21" s="110" t="str">
        <f ca="1">RESULTADOS!AO79</f>
        <v/>
      </c>
      <c r="FG21" s="110" t="str">
        <f ca="1">RESULTADOS!AP79</f>
        <v/>
      </c>
      <c r="FH21" s="110" t="str">
        <f ca="1">RESULTADOS!AQ79</f>
        <v/>
      </c>
      <c r="FI21" s="110" t="str">
        <f ca="1">RESULTADOS!AR79</f>
        <v/>
      </c>
      <c r="FJ21" s="110" t="str">
        <f ca="1">RESULTADOS!AS79</f>
        <v/>
      </c>
      <c r="FK21" s="110" t="str">
        <f ca="1">RESULTADOS!AT79</f>
        <v/>
      </c>
      <c r="FL21" s="110" t="str">
        <f ca="1">RESULTADOS!AU79</f>
        <v/>
      </c>
      <c r="FM21" s="110" t="str">
        <f ca="1">RESULTADOS!AV79</f>
        <v/>
      </c>
      <c r="FN21" s="110" t="str">
        <f ca="1">RESULTADOS!AW79</f>
        <v/>
      </c>
    </row>
    <row r="22" spans="3:170" ht="13">
      <c r="C22" s="108" t="s">
        <v>40</v>
      </c>
      <c r="D22" s="111" t="str">
        <f>'01.Definición de ámbito'!D52</f>
        <v>No</v>
      </c>
      <c r="T22" s="112" t="str">
        <f>RESULTADOS!B39</f>
        <v/>
      </c>
      <c r="U22" s="112" t="str">
        <f>RESULTADOS!C39</f>
        <v/>
      </c>
      <c r="V22" s="112" t="str">
        <f t="shared" si="0"/>
        <v/>
      </c>
      <c r="W22" s="112" t="str">
        <v/>
      </c>
      <c r="X22" s="112" t="str">
        <f>RESULTADOS!D39</f>
        <v/>
      </c>
      <c r="Y22" s="112" t="str">
        <v/>
      </c>
      <c r="Z22" s="187" t="str">
        <v/>
      </c>
      <c r="AA22" s="110" t="str">
        <f ca="1">RESULTADOS!E39</f>
        <v/>
      </c>
      <c r="AB22" s="110" t="str">
        <f ca="1">RESULTADOS!F39</f>
        <v/>
      </c>
      <c r="AC22" s="110" t="str">
        <f ca="1">RESULTADOS!G39</f>
        <v/>
      </c>
      <c r="AD22" s="110" t="str">
        <f ca="1">RESULTADOS!H39</f>
        <v/>
      </c>
      <c r="AE22" s="110" t="str">
        <f ca="1">RESULTADOS!I39</f>
        <v/>
      </c>
      <c r="AF22" s="110" t="str">
        <f ca="1">RESULTADOS!J39</f>
        <v/>
      </c>
      <c r="AG22" s="110" t="str">
        <f ca="1">RESULTADOS!K39</f>
        <v/>
      </c>
      <c r="AH22" s="110" t="str">
        <f ca="1">RESULTADOS!L39</f>
        <v/>
      </c>
      <c r="AI22" s="110" t="str">
        <f ca="1">RESULTADOS!M39</f>
        <v/>
      </c>
      <c r="AJ22" s="110" t="str">
        <f ca="1">RESULTADOS!N39</f>
        <v/>
      </c>
      <c r="AK22" s="110" t="str">
        <f ca="1">RESULTADOS!O39</f>
        <v/>
      </c>
      <c r="AL22" s="110" t="str">
        <f ca="1">RESULTADOS!P39</f>
        <v/>
      </c>
      <c r="AM22" s="110" t="str">
        <f ca="1">RESULTADOS!Q39</f>
        <v/>
      </c>
      <c r="AN22" s="110" t="str">
        <f ca="1">RESULTADOS!R39</f>
        <v/>
      </c>
      <c r="AO22" s="110" t="str">
        <f ca="1">RESULTADOS!S39</f>
        <v/>
      </c>
      <c r="AP22" s="110" t="str">
        <f ca="1">RESULTADOS!T39</f>
        <v/>
      </c>
      <c r="AQ22" s="110" t="str">
        <f ca="1">RESULTADOS!U39</f>
        <v/>
      </c>
      <c r="AR22" s="110" t="str">
        <f ca="1">RESULTADOS!V39</f>
        <v/>
      </c>
      <c r="AS22" s="110" t="str">
        <f ca="1">RESULTADOS!W39</f>
        <v/>
      </c>
      <c r="AT22" s="110" t="str">
        <f ca="1">RESULTADOS!X39</f>
        <v/>
      </c>
      <c r="AU22" s="110" t="str">
        <f ca="1">RESULTADOS!Y39</f>
        <v/>
      </c>
      <c r="AV22" s="110" t="str">
        <f ca="1">RESULTADOS!Z39</f>
        <v/>
      </c>
      <c r="AW22" s="110" t="str">
        <f ca="1">RESULTADOS!AA39</f>
        <v/>
      </c>
      <c r="AX22" s="110" t="str">
        <f ca="1">RESULTADOS!AB39</f>
        <v/>
      </c>
      <c r="AY22" s="110" t="str">
        <f ca="1">RESULTADOS!AC39</f>
        <v/>
      </c>
      <c r="AZ22" s="110" t="str">
        <f ca="1">RESULTADOS!AD39</f>
        <v/>
      </c>
      <c r="BA22" s="110" t="str">
        <f ca="1">RESULTADOS!AE39</f>
        <v/>
      </c>
      <c r="BB22" s="110" t="str">
        <f ca="1">RESULTADOS!AF39</f>
        <v/>
      </c>
      <c r="BC22" s="110" t="str">
        <f ca="1">RESULTADOS!AG39</f>
        <v/>
      </c>
      <c r="BD22" s="110" t="str">
        <f ca="1">RESULTADOS!AH39</f>
        <v/>
      </c>
      <c r="BE22" s="110" t="str">
        <f ca="1">RESULTADOS!AI39</f>
        <v/>
      </c>
      <c r="BF22" s="110" t="str">
        <f ca="1">RESULTADOS!AJ39</f>
        <v/>
      </c>
      <c r="BG22" s="110" t="str">
        <f ca="1">RESULTADOS!AK39</f>
        <v/>
      </c>
      <c r="BH22" s="110" t="str">
        <f ca="1">RESULTADOS!AL39</f>
        <v/>
      </c>
      <c r="BI22" s="110" t="str">
        <f ca="1">RESULTADOS!AM39</f>
        <v/>
      </c>
      <c r="BJ22" s="110" t="str">
        <f ca="1">RESULTADOS!AN39</f>
        <v/>
      </c>
      <c r="BK22" s="110" t="str">
        <f ca="1">RESULTADOS!AO39</f>
        <v/>
      </c>
      <c r="BL22" s="110" t="str">
        <f ca="1">RESULTADOS!AP39</f>
        <v/>
      </c>
      <c r="BM22" s="110" t="str">
        <f ca="1">RESULTADOS!AQ39</f>
        <v/>
      </c>
      <c r="BN22" s="110" t="str">
        <f ca="1">RESULTADOS!AR39</f>
        <v/>
      </c>
      <c r="BO22" s="110" t="str">
        <f ca="1">RESULTADOS!AS39</f>
        <v/>
      </c>
      <c r="BP22" s="110" t="str">
        <f ca="1">RESULTADOS!AT39</f>
        <v/>
      </c>
      <c r="BQ22" s="110" t="str">
        <f ca="1">RESULTADOS!AU39</f>
        <v/>
      </c>
      <c r="BR22" s="110" t="str">
        <f ca="1">RESULTADOS!AV39</f>
        <v/>
      </c>
      <c r="BS22" s="110" t="str">
        <f ca="1">RESULTADOS!AW39</f>
        <v/>
      </c>
      <c r="BT22" s="110" t="str">
        <f ca="1">RESULTADOS!AX39</f>
        <v/>
      </c>
      <c r="BU22" s="110" t="str">
        <f ca="1">RESULTADOS!AY39</f>
        <v/>
      </c>
      <c r="BV22" s="110" t="str">
        <f ca="1">RESULTADOS!AZ39</f>
        <v/>
      </c>
      <c r="BW22" s="110" t="str">
        <f ca="1">RESULTADOS!BA39</f>
        <v/>
      </c>
      <c r="BX22" s="110" t="str">
        <f ca="1">RESULTADOS!BB39</f>
        <v/>
      </c>
      <c r="BY22" s="110" t="str">
        <f ca="1">RESULTADOS!BC39</f>
        <v/>
      </c>
      <c r="BZ22" s="110" t="str">
        <f ca="1">RESULTADOS!BD39</f>
        <v/>
      </c>
      <c r="CA22" s="110" t="str">
        <f ca="1">RESULTADOS!BE39</f>
        <v/>
      </c>
      <c r="CB22" s="110" t="str">
        <f ca="1">RESULTADOS!BF39</f>
        <v/>
      </c>
      <c r="CC22" s="110" t="str">
        <f ca="1">RESULTADOS!BG39</f>
        <v/>
      </c>
      <c r="CD22" s="110" t="str">
        <f ca="1">RESULTADOS!BH39</f>
        <v/>
      </c>
      <c r="CE22" s="110" t="str">
        <f ca="1">RESULTADOS!BI39</f>
        <v/>
      </c>
      <c r="CF22" s="110" t="str">
        <f ca="1">RESULTADOS!BJ39</f>
        <v/>
      </c>
      <c r="CG22" s="110" t="str">
        <f ca="1">RESULTADOS!BK39</f>
        <v/>
      </c>
      <c r="CH22" s="110" t="str">
        <f ca="1">RESULTADOS!BL39</f>
        <v/>
      </c>
      <c r="CI22" s="110" t="str">
        <f ca="1">RESULTADOS!BM39</f>
        <v/>
      </c>
      <c r="CJ22" s="110" t="str">
        <f ca="1">RESULTADOS!BN39</f>
        <v/>
      </c>
      <c r="CK22" s="110" t="str">
        <f ca="1">RESULTADOS!BO39</f>
        <v/>
      </c>
      <c r="CL22" s="110" t="str">
        <f ca="1">RESULTADOS!BP39</f>
        <v/>
      </c>
      <c r="CM22" s="110" t="str">
        <f ca="1">RESULTADOS!BQ39</f>
        <v/>
      </c>
      <c r="CN22" s="110" t="str">
        <f ca="1">RESULTADOS!BR39</f>
        <v/>
      </c>
      <c r="CO22" s="110" t="str">
        <f ca="1">RESULTADOS!BS39</f>
        <v/>
      </c>
      <c r="CP22" s="110" t="str">
        <f ca="1">RESULTADOS!BT39</f>
        <v/>
      </c>
      <c r="CQ22" s="110" t="str">
        <f ca="1">RESULTADOS!BU39</f>
        <v/>
      </c>
      <c r="CR22" s="110" t="str">
        <f ca="1">RESULTADOS!BV39</f>
        <v/>
      </c>
      <c r="CS22" s="110" t="str">
        <f ca="1">RESULTADOS!BW39</f>
        <v/>
      </c>
      <c r="CT22" s="110" t="str">
        <f ca="1">RESULTADOS!BX39</f>
        <v/>
      </c>
      <c r="CU22" s="110" t="str">
        <f ca="1">RESULTADOS!BY39</f>
        <v/>
      </c>
      <c r="CV22" s="110" t="str">
        <f ca="1">RESULTADOS!BZ39</f>
        <v/>
      </c>
      <c r="CW22" s="110" t="str">
        <f ca="1">RESULTADOS!CA39</f>
        <v/>
      </c>
      <c r="CX22" s="110" t="str">
        <f ca="1">RESULTADOS!CB39</f>
        <v/>
      </c>
      <c r="CY22" s="110" t="str">
        <f ca="1">RESULTADOS!CC39</f>
        <v/>
      </c>
      <c r="CZ22" s="110" t="str">
        <f ca="1">RESULTADOS!CD39</f>
        <v/>
      </c>
      <c r="DA22" s="110" t="str">
        <f ca="1">RESULTADOS!CE39</f>
        <v/>
      </c>
      <c r="DB22" s="110" t="str">
        <f ca="1">RESULTADOS!CF39</f>
        <v/>
      </c>
      <c r="DC22" s="110" t="str">
        <f ca="1">RESULTADOS!CG39</f>
        <v/>
      </c>
      <c r="DD22" s="110" t="str">
        <f ca="1">RESULTADOS!CH39</f>
        <v/>
      </c>
      <c r="DE22" s="110" t="str">
        <f ca="1">RESULTADOS!CI39</f>
        <v/>
      </c>
      <c r="DF22" s="110" t="str">
        <f ca="1">RESULTADOS!CJ39</f>
        <v/>
      </c>
      <c r="DG22" s="110" t="str">
        <f ca="1">RESULTADOS!CK39</f>
        <v/>
      </c>
      <c r="DH22" s="110" t="str">
        <f ca="1">RESULTADOS!CL39</f>
        <v/>
      </c>
      <c r="DI22" s="110" t="str">
        <f ca="1">RESULTADOS!CM39</f>
        <v/>
      </c>
      <c r="DJ22" s="110" t="str">
        <f ca="1">RESULTADOS!CN39</f>
        <v/>
      </c>
      <c r="DK22" s="110" t="str">
        <f ca="1">RESULTADOS!CO39</f>
        <v/>
      </c>
      <c r="DL22" s="110" t="str">
        <f ca="1">RESULTADOS!CP39</f>
        <v/>
      </c>
      <c r="DM22" s="110" t="str">
        <f ca="1">RESULTADOS!CQ39</f>
        <v/>
      </c>
      <c r="DN22" s="110" t="str">
        <f ca="1">RESULTADOS!CR39</f>
        <v/>
      </c>
      <c r="DO22" s="112" t="str">
        <f>RESULTADOS!B80</f>
        <v/>
      </c>
      <c r="DP22" s="112" t="str">
        <f>RESULTADOS!C80</f>
        <v/>
      </c>
      <c r="DQ22" s="112" t="str">
        <f t="shared" si="1"/>
        <v/>
      </c>
      <c r="DR22" s="112" t="str" cm="1">
        <f t="array" ref="DR22">IFERROR(INDEX('03.Muestra'!$E$8:$E$42,SMALL(IF("Documento no web"='03.Muestra'!$D$8:$D$42,ROW('03.Muestra'!$E$8:$E$42)-MIN(ROW('03.Muestra'!$D$8:$D$42))+1,""),ROW()-2)),"")</f>
        <v/>
      </c>
      <c r="DS22" s="112" t="str">
        <f>RESULTADOS!D80</f>
        <v/>
      </c>
      <c r="DT22" s="112" t="str" cm="1">
        <f t="array" ref="DT22">IFERROR(INDEX('03.Muestra'!$G$8:$G$42,SMALL(IF("Documento no web"='03.Muestra'!$D$8:$D$42,ROW('03.Muestra'!$G$8:$G$42)-MIN(ROW('03.Muestra'!$D$8:$D$42))+1,""),ROW()-2)),"")</f>
        <v/>
      </c>
      <c r="DU22" s="187" t="str" cm="1">
        <f t="array" ref="DU22">IFERROR(INDEX('03.Muestra'!$H$8:$H$42,SMALL(IF("Documento no web"='03.Muestra'!$D$8:$D$42,ROW('03.Muestra'!$H$8:$H$42)-MIN(ROW('03.Muestra'!$D$8:$D$42))+1,""),ROW()-2)),"")</f>
        <v/>
      </c>
      <c r="DV22" s="110" t="str">
        <f ca="1">RESULTADOS!E80</f>
        <v/>
      </c>
      <c r="DW22" s="110" t="str">
        <f ca="1">RESULTADOS!F80</f>
        <v/>
      </c>
      <c r="DX22" s="110" t="str">
        <f ca="1">RESULTADOS!G80</f>
        <v/>
      </c>
      <c r="DY22" s="110" t="str">
        <f ca="1">RESULTADOS!H80</f>
        <v/>
      </c>
      <c r="DZ22" s="110" t="str">
        <f ca="1">RESULTADOS!I80</f>
        <v/>
      </c>
      <c r="EA22" s="110" t="str">
        <f ca="1">RESULTADOS!J80</f>
        <v/>
      </c>
      <c r="EB22" s="110" t="str">
        <f ca="1">RESULTADOS!K80</f>
        <v/>
      </c>
      <c r="EC22" s="110" t="str">
        <f ca="1">RESULTADOS!L80</f>
        <v/>
      </c>
      <c r="ED22" s="110" t="str">
        <f ca="1">RESULTADOS!M80</f>
        <v/>
      </c>
      <c r="EE22" s="110" t="str">
        <f ca="1">RESULTADOS!N80</f>
        <v/>
      </c>
      <c r="EF22" s="110" t="str">
        <f ca="1">RESULTADOS!O80</f>
        <v/>
      </c>
      <c r="EG22" s="110" t="str">
        <f ca="1">RESULTADOS!P80</f>
        <v/>
      </c>
      <c r="EH22" s="110" t="str">
        <f ca="1">RESULTADOS!Q80</f>
        <v/>
      </c>
      <c r="EI22" s="110" t="str">
        <f ca="1">RESULTADOS!R80</f>
        <v/>
      </c>
      <c r="EJ22" s="110" t="str">
        <f ca="1">RESULTADOS!S80</f>
        <v/>
      </c>
      <c r="EK22" s="110" t="str">
        <f ca="1">RESULTADOS!T80</f>
        <v/>
      </c>
      <c r="EL22" s="110" t="str">
        <f ca="1">RESULTADOS!U80</f>
        <v/>
      </c>
      <c r="EM22" s="110" t="str">
        <f ca="1">RESULTADOS!V80</f>
        <v/>
      </c>
      <c r="EN22" s="110" t="str">
        <f ca="1">RESULTADOS!W80</f>
        <v/>
      </c>
      <c r="EO22" s="110" t="str">
        <f ca="1">RESULTADOS!X80</f>
        <v/>
      </c>
      <c r="EP22" s="110" t="str">
        <f ca="1">RESULTADOS!Y80</f>
        <v/>
      </c>
      <c r="EQ22" s="110" t="str">
        <f ca="1">RESULTADOS!Z80</f>
        <v/>
      </c>
      <c r="ER22" s="110" t="str">
        <f ca="1">RESULTADOS!AA80</f>
        <v/>
      </c>
      <c r="ES22" s="110" t="str">
        <f ca="1">RESULTADOS!AB80</f>
        <v/>
      </c>
      <c r="ET22" s="110" t="str">
        <f ca="1">RESULTADOS!AC80</f>
        <v/>
      </c>
      <c r="EU22" s="110" t="str">
        <f ca="1">RESULTADOS!AD80</f>
        <v/>
      </c>
      <c r="EV22" s="110" t="str">
        <f ca="1">RESULTADOS!AE80</f>
        <v/>
      </c>
      <c r="EW22" s="110" t="str">
        <f ca="1">RESULTADOS!AF80</f>
        <v/>
      </c>
      <c r="EX22" s="110" t="str">
        <f ca="1">RESULTADOS!AG80</f>
        <v/>
      </c>
      <c r="EY22" s="110" t="str">
        <f ca="1">RESULTADOS!AH80</f>
        <v/>
      </c>
      <c r="EZ22" s="110" t="str">
        <f ca="1">RESULTADOS!AI80</f>
        <v/>
      </c>
      <c r="FA22" s="110" t="str">
        <f ca="1">RESULTADOS!AJ80</f>
        <v/>
      </c>
      <c r="FB22" s="110" t="str">
        <f ca="1">RESULTADOS!AK80</f>
        <v/>
      </c>
      <c r="FC22" s="110" t="str">
        <f ca="1">RESULTADOS!AL80</f>
        <v/>
      </c>
      <c r="FD22" s="110" t="str">
        <f ca="1">RESULTADOS!AM80</f>
        <v/>
      </c>
      <c r="FE22" s="110" t="str">
        <f ca="1">RESULTADOS!AN80</f>
        <v/>
      </c>
      <c r="FF22" s="110" t="str">
        <f ca="1">RESULTADOS!AO80</f>
        <v/>
      </c>
      <c r="FG22" s="110" t="str">
        <f ca="1">RESULTADOS!AP80</f>
        <v/>
      </c>
      <c r="FH22" s="110" t="str">
        <f ca="1">RESULTADOS!AQ80</f>
        <v/>
      </c>
      <c r="FI22" s="110" t="str">
        <f ca="1">RESULTADOS!AR80</f>
        <v/>
      </c>
      <c r="FJ22" s="110" t="str">
        <f ca="1">RESULTADOS!AS80</f>
        <v/>
      </c>
      <c r="FK22" s="110" t="str">
        <f ca="1">RESULTADOS!AT80</f>
        <v/>
      </c>
      <c r="FL22" s="110" t="str">
        <f ca="1">RESULTADOS!AU80</f>
        <v/>
      </c>
      <c r="FM22" s="110" t="str">
        <f ca="1">RESULTADOS!AV80</f>
        <v/>
      </c>
      <c r="FN22" s="110" t="str">
        <f ca="1">RESULTADOS!AW80</f>
        <v/>
      </c>
    </row>
    <row r="23" spans="3:170" ht="13">
      <c r="C23" s="108" t="s">
        <v>41</v>
      </c>
      <c r="D23" s="111" t="str">
        <f>'01.Definición de ámbito'!D53</f>
        <v>No</v>
      </c>
      <c r="K23" t="s">
        <v>476</v>
      </c>
      <c r="T23" s="112" t="str">
        <f>RESULTADOS!B40</f>
        <v/>
      </c>
      <c r="U23" s="112" t="str">
        <f>RESULTADOS!C40</f>
        <v/>
      </c>
      <c r="V23" s="112" t="str">
        <f t="shared" si="0"/>
        <v/>
      </c>
      <c r="W23" s="112" t="str">
        <v/>
      </c>
      <c r="X23" s="112" t="str">
        <f>RESULTADOS!D40</f>
        <v/>
      </c>
      <c r="Y23" s="112" t="str">
        <v/>
      </c>
      <c r="Z23" s="187" t="str">
        <v/>
      </c>
      <c r="AA23" s="110" t="str">
        <f ca="1">RESULTADOS!E40</f>
        <v/>
      </c>
      <c r="AB23" s="110" t="str">
        <f ca="1">RESULTADOS!F40</f>
        <v/>
      </c>
      <c r="AC23" s="110" t="str">
        <f ca="1">RESULTADOS!G40</f>
        <v/>
      </c>
      <c r="AD23" s="110" t="str">
        <f ca="1">RESULTADOS!H40</f>
        <v/>
      </c>
      <c r="AE23" s="110" t="str">
        <f ca="1">RESULTADOS!I40</f>
        <v/>
      </c>
      <c r="AF23" s="110" t="str">
        <f ca="1">RESULTADOS!J40</f>
        <v/>
      </c>
      <c r="AG23" s="110" t="str">
        <f ca="1">RESULTADOS!K40</f>
        <v/>
      </c>
      <c r="AH23" s="110" t="str">
        <f ca="1">RESULTADOS!L40</f>
        <v/>
      </c>
      <c r="AI23" s="110" t="str">
        <f ca="1">RESULTADOS!M40</f>
        <v/>
      </c>
      <c r="AJ23" s="110" t="str">
        <f ca="1">RESULTADOS!N40</f>
        <v/>
      </c>
      <c r="AK23" s="110" t="str">
        <f ca="1">RESULTADOS!O40</f>
        <v/>
      </c>
      <c r="AL23" s="110" t="str">
        <f ca="1">RESULTADOS!P40</f>
        <v/>
      </c>
      <c r="AM23" s="110" t="str">
        <f ca="1">RESULTADOS!Q40</f>
        <v/>
      </c>
      <c r="AN23" s="110" t="str">
        <f ca="1">RESULTADOS!R40</f>
        <v/>
      </c>
      <c r="AO23" s="110" t="str">
        <f ca="1">RESULTADOS!S40</f>
        <v/>
      </c>
      <c r="AP23" s="110" t="str">
        <f ca="1">RESULTADOS!T40</f>
        <v/>
      </c>
      <c r="AQ23" s="110" t="str">
        <f ca="1">RESULTADOS!U40</f>
        <v/>
      </c>
      <c r="AR23" s="110" t="str">
        <f ca="1">RESULTADOS!V40</f>
        <v/>
      </c>
      <c r="AS23" s="110" t="str">
        <f ca="1">RESULTADOS!W40</f>
        <v/>
      </c>
      <c r="AT23" s="110" t="str">
        <f ca="1">RESULTADOS!X40</f>
        <v/>
      </c>
      <c r="AU23" s="110" t="str">
        <f ca="1">RESULTADOS!Y40</f>
        <v/>
      </c>
      <c r="AV23" s="110" t="str">
        <f ca="1">RESULTADOS!Z40</f>
        <v/>
      </c>
      <c r="AW23" s="110" t="str">
        <f ca="1">RESULTADOS!AA40</f>
        <v/>
      </c>
      <c r="AX23" s="110" t="str">
        <f ca="1">RESULTADOS!AB40</f>
        <v/>
      </c>
      <c r="AY23" s="110" t="str">
        <f ca="1">RESULTADOS!AC40</f>
        <v/>
      </c>
      <c r="AZ23" s="110" t="str">
        <f ca="1">RESULTADOS!AD40</f>
        <v/>
      </c>
      <c r="BA23" s="110" t="str">
        <f ca="1">RESULTADOS!AE40</f>
        <v/>
      </c>
      <c r="BB23" s="110" t="str">
        <f ca="1">RESULTADOS!AF40</f>
        <v/>
      </c>
      <c r="BC23" s="110" t="str">
        <f ca="1">RESULTADOS!AG40</f>
        <v/>
      </c>
      <c r="BD23" s="110" t="str">
        <f ca="1">RESULTADOS!AH40</f>
        <v/>
      </c>
      <c r="BE23" s="110" t="str">
        <f ca="1">RESULTADOS!AI40</f>
        <v/>
      </c>
      <c r="BF23" s="110" t="str">
        <f ca="1">RESULTADOS!AJ40</f>
        <v/>
      </c>
      <c r="BG23" s="110" t="str">
        <f ca="1">RESULTADOS!AK40</f>
        <v/>
      </c>
      <c r="BH23" s="110" t="str">
        <f ca="1">RESULTADOS!AL40</f>
        <v/>
      </c>
      <c r="BI23" s="110" t="str">
        <f ca="1">RESULTADOS!AM40</f>
        <v/>
      </c>
      <c r="BJ23" s="110" t="str">
        <f ca="1">RESULTADOS!AN40</f>
        <v/>
      </c>
      <c r="BK23" s="110" t="str">
        <f ca="1">RESULTADOS!AO40</f>
        <v/>
      </c>
      <c r="BL23" s="110" t="str">
        <f ca="1">RESULTADOS!AP40</f>
        <v/>
      </c>
      <c r="BM23" s="110" t="str">
        <f ca="1">RESULTADOS!AQ40</f>
        <v/>
      </c>
      <c r="BN23" s="110" t="str">
        <f ca="1">RESULTADOS!AR40</f>
        <v/>
      </c>
      <c r="BO23" s="110" t="str">
        <f ca="1">RESULTADOS!AS40</f>
        <v/>
      </c>
      <c r="BP23" s="110" t="str">
        <f ca="1">RESULTADOS!AT40</f>
        <v/>
      </c>
      <c r="BQ23" s="110" t="str">
        <f ca="1">RESULTADOS!AU40</f>
        <v/>
      </c>
      <c r="BR23" s="110" t="str">
        <f ca="1">RESULTADOS!AV40</f>
        <v/>
      </c>
      <c r="BS23" s="110" t="str">
        <f ca="1">RESULTADOS!AW40</f>
        <v/>
      </c>
      <c r="BT23" s="110" t="str">
        <f ca="1">RESULTADOS!AX40</f>
        <v/>
      </c>
      <c r="BU23" s="110" t="str">
        <f ca="1">RESULTADOS!AY40</f>
        <v/>
      </c>
      <c r="BV23" s="110" t="str">
        <f ca="1">RESULTADOS!AZ40</f>
        <v/>
      </c>
      <c r="BW23" s="110" t="str">
        <f ca="1">RESULTADOS!BA40</f>
        <v/>
      </c>
      <c r="BX23" s="110" t="str">
        <f ca="1">RESULTADOS!BB40</f>
        <v/>
      </c>
      <c r="BY23" s="110" t="str">
        <f ca="1">RESULTADOS!BC40</f>
        <v/>
      </c>
      <c r="BZ23" s="110" t="str">
        <f ca="1">RESULTADOS!BD40</f>
        <v/>
      </c>
      <c r="CA23" s="110" t="str">
        <f ca="1">RESULTADOS!BE40</f>
        <v/>
      </c>
      <c r="CB23" s="110" t="str">
        <f ca="1">RESULTADOS!BF40</f>
        <v/>
      </c>
      <c r="CC23" s="110" t="str">
        <f ca="1">RESULTADOS!BG40</f>
        <v/>
      </c>
      <c r="CD23" s="110" t="str">
        <f ca="1">RESULTADOS!BH40</f>
        <v/>
      </c>
      <c r="CE23" s="110" t="str">
        <f ca="1">RESULTADOS!BI40</f>
        <v/>
      </c>
      <c r="CF23" s="110" t="str">
        <f ca="1">RESULTADOS!BJ40</f>
        <v/>
      </c>
      <c r="CG23" s="110" t="str">
        <f ca="1">RESULTADOS!BK40</f>
        <v/>
      </c>
      <c r="CH23" s="110" t="str">
        <f ca="1">RESULTADOS!BL40</f>
        <v/>
      </c>
      <c r="CI23" s="110" t="str">
        <f ca="1">RESULTADOS!BM40</f>
        <v/>
      </c>
      <c r="CJ23" s="110" t="str">
        <f ca="1">RESULTADOS!BN40</f>
        <v/>
      </c>
      <c r="CK23" s="110" t="str">
        <f ca="1">RESULTADOS!BO40</f>
        <v/>
      </c>
      <c r="CL23" s="110" t="str">
        <f ca="1">RESULTADOS!BP40</f>
        <v/>
      </c>
      <c r="CM23" s="110" t="str">
        <f ca="1">RESULTADOS!BQ40</f>
        <v/>
      </c>
      <c r="CN23" s="110" t="str">
        <f ca="1">RESULTADOS!BR40</f>
        <v/>
      </c>
      <c r="CO23" s="110" t="str">
        <f ca="1">RESULTADOS!BS40</f>
        <v/>
      </c>
      <c r="CP23" s="110" t="str">
        <f ca="1">RESULTADOS!BT40</f>
        <v/>
      </c>
      <c r="CQ23" s="110" t="str">
        <f ca="1">RESULTADOS!BU40</f>
        <v/>
      </c>
      <c r="CR23" s="110" t="str">
        <f ca="1">RESULTADOS!BV40</f>
        <v/>
      </c>
      <c r="CS23" s="110" t="str">
        <f ca="1">RESULTADOS!BW40</f>
        <v/>
      </c>
      <c r="CT23" s="110" t="str">
        <f ca="1">RESULTADOS!BX40</f>
        <v/>
      </c>
      <c r="CU23" s="110" t="str">
        <f ca="1">RESULTADOS!BY40</f>
        <v/>
      </c>
      <c r="CV23" s="110" t="str">
        <f ca="1">RESULTADOS!BZ40</f>
        <v/>
      </c>
      <c r="CW23" s="110" t="str">
        <f ca="1">RESULTADOS!CA40</f>
        <v/>
      </c>
      <c r="CX23" s="110" t="str">
        <f ca="1">RESULTADOS!CB40</f>
        <v/>
      </c>
      <c r="CY23" s="110" t="str">
        <f ca="1">RESULTADOS!CC40</f>
        <v/>
      </c>
      <c r="CZ23" s="110" t="str">
        <f ca="1">RESULTADOS!CD40</f>
        <v/>
      </c>
      <c r="DA23" s="110" t="str">
        <f ca="1">RESULTADOS!CE40</f>
        <v/>
      </c>
      <c r="DB23" s="110" t="str">
        <f ca="1">RESULTADOS!CF40</f>
        <v/>
      </c>
      <c r="DC23" s="110" t="str">
        <f ca="1">RESULTADOS!CG40</f>
        <v/>
      </c>
      <c r="DD23" s="110" t="str">
        <f ca="1">RESULTADOS!CH40</f>
        <v/>
      </c>
      <c r="DE23" s="110" t="str">
        <f ca="1">RESULTADOS!CI40</f>
        <v/>
      </c>
      <c r="DF23" s="110" t="str">
        <f ca="1">RESULTADOS!CJ40</f>
        <v/>
      </c>
      <c r="DG23" s="110" t="str">
        <f ca="1">RESULTADOS!CK40</f>
        <v/>
      </c>
      <c r="DH23" s="110" t="str">
        <f ca="1">RESULTADOS!CL40</f>
        <v/>
      </c>
      <c r="DI23" s="110" t="str">
        <f ca="1">RESULTADOS!CM40</f>
        <v/>
      </c>
      <c r="DJ23" s="110" t="str">
        <f ca="1">RESULTADOS!CN40</f>
        <v/>
      </c>
      <c r="DK23" s="110" t="str">
        <f ca="1">RESULTADOS!CO40</f>
        <v/>
      </c>
      <c r="DL23" s="110" t="str">
        <f ca="1">RESULTADOS!CP40</f>
        <v/>
      </c>
      <c r="DM23" s="110" t="str">
        <f ca="1">RESULTADOS!CQ40</f>
        <v/>
      </c>
      <c r="DN23" s="110" t="str">
        <f ca="1">RESULTADOS!CR40</f>
        <v/>
      </c>
      <c r="DO23" s="112" t="str">
        <f>RESULTADOS!B81</f>
        <v/>
      </c>
      <c r="DP23" s="112" t="str">
        <f>RESULTADOS!C81</f>
        <v/>
      </c>
      <c r="DQ23" s="112" t="str">
        <f t="shared" si="1"/>
        <v/>
      </c>
      <c r="DR23" s="112" t="str" cm="1">
        <f t="array" ref="DR23">IFERROR(INDEX('03.Muestra'!$E$8:$E$42,SMALL(IF("Documento no web"='03.Muestra'!$D$8:$D$42,ROW('03.Muestra'!$E$8:$E$42)-MIN(ROW('03.Muestra'!$D$8:$D$42))+1,""),ROW()-2)),"")</f>
        <v/>
      </c>
      <c r="DS23" s="112" t="str">
        <f>RESULTADOS!D81</f>
        <v/>
      </c>
      <c r="DT23" s="112" t="str" cm="1">
        <f t="array" ref="DT23">IFERROR(INDEX('03.Muestra'!$G$8:$G$42,SMALL(IF("Documento no web"='03.Muestra'!$D$8:$D$42,ROW('03.Muestra'!$G$8:$G$42)-MIN(ROW('03.Muestra'!$D$8:$D$42))+1,""),ROW()-2)),"")</f>
        <v/>
      </c>
      <c r="DU23" s="187" t="str" cm="1">
        <f t="array" ref="DU23">IFERROR(INDEX('03.Muestra'!$H$8:$H$42,SMALL(IF("Documento no web"='03.Muestra'!$D$8:$D$42,ROW('03.Muestra'!$H$8:$H$42)-MIN(ROW('03.Muestra'!$D$8:$D$42))+1,""),ROW()-2)),"")</f>
        <v/>
      </c>
      <c r="DV23" s="110" t="str">
        <f ca="1">RESULTADOS!E81</f>
        <v/>
      </c>
      <c r="DW23" s="110" t="str">
        <f ca="1">RESULTADOS!F81</f>
        <v/>
      </c>
      <c r="DX23" s="110" t="str">
        <f ca="1">RESULTADOS!G81</f>
        <v/>
      </c>
      <c r="DY23" s="110" t="str">
        <f ca="1">RESULTADOS!H81</f>
        <v/>
      </c>
      <c r="DZ23" s="110" t="str">
        <f ca="1">RESULTADOS!I81</f>
        <v/>
      </c>
      <c r="EA23" s="110" t="str">
        <f ca="1">RESULTADOS!J81</f>
        <v/>
      </c>
      <c r="EB23" s="110" t="str">
        <f ca="1">RESULTADOS!K81</f>
        <v/>
      </c>
      <c r="EC23" s="110" t="str">
        <f ca="1">RESULTADOS!L81</f>
        <v/>
      </c>
      <c r="ED23" s="110" t="str">
        <f ca="1">RESULTADOS!M81</f>
        <v/>
      </c>
      <c r="EE23" s="110" t="str">
        <f ca="1">RESULTADOS!N81</f>
        <v/>
      </c>
      <c r="EF23" s="110" t="str">
        <f ca="1">RESULTADOS!O81</f>
        <v/>
      </c>
      <c r="EG23" s="110" t="str">
        <f ca="1">RESULTADOS!P81</f>
        <v/>
      </c>
      <c r="EH23" s="110" t="str">
        <f ca="1">RESULTADOS!Q81</f>
        <v/>
      </c>
      <c r="EI23" s="110" t="str">
        <f ca="1">RESULTADOS!R81</f>
        <v/>
      </c>
      <c r="EJ23" s="110" t="str">
        <f ca="1">RESULTADOS!S81</f>
        <v/>
      </c>
      <c r="EK23" s="110" t="str">
        <f ca="1">RESULTADOS!T81</f>
        <v/>
      </c>
      <c r="EL23" s="110" t="str">
        <f ca="1">RESULTADOS!U81</f>
        <v/>
      </c>
      <c r="EM23" s="110" t="str">
        <f ca="1">RESULTADOS!V81</f>
        <v/>
      </c>
      <c r="EN23" s="110" t="str">
        <f ca="1">RESULTADOS!W81</f>
        <v/>
      </c>
      <c r="EO23" s="110" t="str">
        <f ca="1">RESULTADOS!X81</f>
        <v/>
      </c>
      <c r="EP23" s="110" t="str">
        <f ca="1">RESULTADOS!Y81</f>
        <v/>
      </c>
      <c r="EQ23" s="110" t="str">
        <f ca="1">RESULTADOS!Z81</f>
        <v/>
      </c>
      <c r="ER23" s="110" t="str">
        <f ca="1">RESULTADOS!AA81</f>
        <v/>
      </c>
      <c r="ES23" s="110" t="str">
        <f ca="1">RESULTADOS!AB81</f>
        <v/>
      </c>
      <c r="ET23" s="110" t="str">
        <f ca="1">RESULTADOS!AC81</f>
        <v/>
      </c>
      <c r="EU23" s="110" t="str">
        <f ca="1">RESULTADOS!AD81</f>
        <v/>
      </c>
      <c r="EV23" s="110" t="str">
        <f ca="1">RESULTADOS!AE81</f>
        <v/>
      </c>
      <c r="EW23" s="110" t="str">
        <f ca="1">RESULTADOS!AF81</f>
        <v/>
      </c>
      <c r="EX23" s="110" t="str">
        <f ca="1">RESULTADOS!AG81</f>
        <v/>
      </c>
      <c r="EY23" s="110" t="str">
        <f ca="1">RESULTADOS!AH81</f>
        <v/>
      </c>
      <c r="EZ23" s="110" t="str">
        <f ca="1">RESULTADOS!AI81</f>
        <v/>
      </c>
      <c r="FA23" s="110" t="str">
        <f ca="1">RESULTADOS!AJ81</f>
        <v/>
      </c>
      <c r="FB23" s="110" t="str">
        <f ca="1">RESULTADOS!AK81</f>
        <v/>
      </c>
      <c r="FC23" s="110" t="str">
        <f ca="1">RESULTADOS!AL81</f>
        <v/>
      </c>
      <c r="FD23" s="110" t="str">
        <f ca="1">RESULTADOS!AM81</f>
        <v/>
      </c>
      <c r="FE23" s="110" t="str">
        <f ca="1">RESULTADOS!AN81</f>
        <v/>
      </c>
      <c r="FF23" s="110" t="str">
        <f ca="1">RESULTADOS!AO81</f>
        <v/>
      </c>
      <c r="FG23" s="110" t="str">
        <f ca="1">RESULTADOS!AP81</f>
        <v/>
      </c>
      <c r="FH23" s="110" t="str">
        <f ca="1">RESULTADOS!AQ81</f>
        <v/>
      </c>
      <c r="FI23" s="110" t="str">
        <f ca="1">RESULTADOS!AR81</f>
        <v/>
      </c>
      <c r="FJ23" s="110" t="str">
        <f ca="1">RESULTADOS!AS81</f>
        <v/>
      </c>
      <c r="FK23" s="110" t="str">
        <f ca="1">RESULTADOS!AT81</f>
        <v/>
      </c>
      <c r="FL23" s="110" t="str">
        <f ca="1">RESULTADOS!AU81</f>
        <v/>
      </c>
      <c r="FM23" s="110" t="str">
        <f ca="1">RESULTADOS!AV81</f>
        <v/>
      </c>
      <c r="FN23" s="110" t="str">
        <f ca="1">RESULTADOS!AW81</f>
        <v/>
      </c>
    </row>
    <row r="24" spans="3:170" ht="13">
      <c r="C24" s="108" t="s">
        <v>42</v>
      </c>
      <c r="D24" s="111" t="str">
        <f>'01.Definición de ámbito'!D54</f>
        <v>No</v>
      </c>
      <c r="K24" t="s">
        <v>92</v>
      </c>
      <c r="L24" s="112">
        <f ca="1">RESULTADOS!P8</f>
        <v>0</v>
      </c>
      <c r="M24" s="170">
        <f ca="1">RESULTADOS!Q8</f>
        <v>0</v>
      </c>
      <c r="T24" s="112" t="str">
        <f>RESULTADOS!B41</f>
        <v/>
      </c>
      <c r="U24" s="112" t="str">
        <f>RESULTADOS!C41</f>
        <v/>
      </c>
      <c r="V24" s="112" t="str">
        <f t="shared" si="0"/>
        <v/>
      </c>
      <c r="W24" s="112" t="str">
        <v/>
      </c>
      <c r="X24" s="112" t="str">
        <f>RESULTADOS!D41</f>
        <v/>
      </c>
      <c r="Y24" s="112" t="str">
        <v/>
      </c>
      <c r="Z24" s="187" t="str">
        <v/>
      </c>
      <c r="AA24" s="110" t="str">
        <f ca="1">RESULTADOS!E41</f>
        <v/>
      </c>
      <c r="AB24" s="110" t="str">
        <f ca="1">RESULTADOS!F41</f>
        <v/>
      </c>
      <c r="AC24" s="110" t="str">
        <f ca="1">RESULTADOS!G41</f>
        <v/>
      </c>
      <c r="AD24" s="110" t="str">
        <f ca="1">RESULTADOS!H41</f>
        <v/>
      </c>
      <c r="AE24" s="110" t="str">
        <f ca="1">RESULTADOS!I41</f>
        <v/>
      </c>
      <c r="AF24" s="110" t="str">
        <f ca="1">RESULTADOS!J41</f>
        <v/>
      </c>
      <c r="AG24" s="110" t="str">
        <f ca="1">RESULTADOS!K41</f>
        <v/>
      </c>
      <c r="AH24" s="110" t="str">
        <f ca="1">RESULTADOS!L41</f>
        <v/>
      </c>
      <c r="AI24" s="110" t="str">
        <f ca="1">RESULTADOS!M41</f>
        <v/>
      </c>
      <c r="AJ24" s="110" t="str">
        <f ca="1">RESULTADOS!N41</f>
        <v/>
      </c>
      <c r="AK24" s="110" t="str">
        <f ca="1">RESULTADOS!O41</f>
        <v/>
      </c>
      <c r="AL24" s="110" t="str">
        <f ca="1">RESULTADOS!P41</f>
        <v/>
      </c>
      <c r="AM24" s="110" t="str">
        <f ca="1">RESULTADOS!Q41</f>
        <v/>
      </c>
      <c r="AN24" s="110" t="str">
        <f ca="1">RESULTADOS!R41</f>
        <v/>
      </c>
      <c r="AO24" s="110" t="str">
        <f ca="1">RESULTADOS!S41</f>
        <v/>
      </c>
      <c r="AP24" s="110" t="str">
        <f ca="1">RESULTADOS!T41</f>
        <v/>
      </c>
      <c r="AQ24" s="110" t="str">
        <f ca="1">RESULTADOS!U41</f>
        <v/>
      </c>
      <c r="AR24" s="110" t="str">
        <f ca="1">RESULTADOS!V41</f>
        <v/>
      </c>
      <c r="AS24" s="110" t="str">
        <f ca="1">RESULTADOS!W41</f>
        <v/>
      </c>
      <c r="AT24" s="110" t="str">
        <f ca="1">RESULTADOS!X41</f>
        <v/>
      </c>
      <c r="AU24" s="110" t="str">
        <f ca="1">RESULTADOS!Y41</f>
        <v/>
      </c>
      <c r="AV24" s="110" t="str">
        <f ca="1">RESULTADOS!Z41</f>
        <v/>
      </c>
      <c r="AW24" s="110" t="str">
        <f ca="1">RESULTADOS!AA41</f>
        <v/>
      </c>
      <c r="AX24" s="110" t="str">
        <f ca="1">RESULTADOS!AB41</f>
        <v/>
      </c>
      <c r="AY24" s="110" t="str">
        <f ca="1">RESULTADOS!AC41</f>
        <v/>
      </c>
      <c r="AZ24" s="110" t="str">
        <f ca="1">RESULTADOS!AD41</f>
        <v/>
      </c>
      <c r="BA24" s="110" t="str">
        <f ca="1">RESULTADOS!AE41</f>
        <v/>
      </c>
      <c r="BB24" s="110" t="str">
        <f ca="1">RESULTADOS!AF41</f>
        <v/>
      </c>
      <c r="BC24" s="110" t="str">
        <f ca="1">RESULTADOS!AG41</f>
        <v/>
      </c>
      <c r="BD24" s="110" t="str">
        <f ca="1">RESULTADOS!AH41</f>
        <v/>
      </c>
      <c r="BE24" s="110" t="str">
        <f ca="1">RESULTADOS!AI41</f>
        <v/>
      </c>
      <c r="BF24" s="110" t="str">
        <f ca="1">RESULTADOS!AJ41</f>
        <v/>
      </c>
      <c r="BG24" s="110" t="str">
        <f ca="1">RESULTADOS!AK41</f>
        <v/>
      </c>
      <c r="BH24" s="110" t="str">
        <f ca="1">RESULTADOS!AL41</f>
        <v/>
      </c>
      <c r="BI24" s="110" t="str">
        <f ca="1">RESULTADOS!AM41</f>
        <v/>
      </c>
      <c r="BJ24" s="110" t="str">
        <f ca="1">RESULTADOS!AN41</f>
        <v/>
      </c>
      <c r="BK24" s="110" t="str">
        <f ca="1">RESULTADOS!AO41</f>
        <v/>
      </c>
      <c r="BL24" s="110" t="str">
        <f ca="1">RESULTADOS!AP41</f>
        <v/>
      </c>
      <c r="BM24" s="110" t="str">
        <f ca="1">RESULTADOS!AQ41</f>
        <v/>
      </c>
      <c r="BN24" s="110" t="str">
        <f ca="1">RESULTADOS!AR41</f>
        <v/>
      </c>
      <c r="BO24" s="110" t="str">
        <f ca="1">RESULTADOS!AS41</f>
        <v/>
      </c>
      <c r="BP24" s="110" t="str">
        <f ca="1">RESULTADOS!AT41</f>
        <v/>
      </c>
      <c r="BQ24" s="110" t="str">
        <f ca="1">RESULTADOS!AU41</f>
        <v/>
      </c>
      <c r="BR24" s="110" t="str">
        <f ca="1">RESULTADOS!AV41</f>
        <v/>
      </c>
      <c r="BS24" s="110" t="str">
        <f ca="1">RESULTADOS!AW41</f>
        <v/>
      </c>
      <c r="BT24" s="110" t="str">
        <f ca="1">RESULTADOS!AX41</f>
        <v/>
      </c>
      <c r="BU24" s="110" t="str">
        <f ca="1">RESULTADOS!AY41</f>
        <v/>
      </c>
      <c r="BV24" s="110" t="str">
        <f ca="1">RESULTADOS!AZ41</f>
        <v/>
      </c>
      <c r="BW24" s="110" t="str">
        <f ca="1">RESULTADOS!BA41</f>
        <v/>
      </c>
      <c r="BX24" s="110" t="str">
        <f ca="1">RESULTADOS!BB41</f>
        <v/>
      </c>
      <c r="BY24" s="110" t="str">
        <f ca="1">RESULTADOS!BC41</f>
        <v/>
      </c>
      <c r="BZ24" s="110" t="str">
        <f ca="1">RESULTADOS!BD41</f>
        <v/>
      </c>
      <c r="CA24" s="110" t="str">
        <f ca="1">RESULTADOS!BE41</f>
        <v/>
      </c>
      <c r="CB24" s="110" t="str">
        <f ca="1">RESULTADOS!BF41</f>
        <v/>
      </c>
      <c r="CC24" s="110" t="str">
        <f ca="1">RESULTADOS!BG41</f>
        <v/>
      </c>
      <c r="CD24" s="110" t="str">
        <f ca="1">RESULTADOS!BH41</f>
        <v/>
      </c>
      <c r="CE24" s="110" t="str">
        <f ca="1">RESULTADOS!BI41</f>
        <v/>
      </c>
      <c r="CF24" s="110" t="str">
        <f ca="1">RESULTADOS!BJ41</f>
        <v/>
      </c>
      <c r="CG24" s="110" t="str">
        <f ca="1">RESULTADOS!BK41</f>
        <v/>
      </c>
      <c r="CH24" s="110" t="str">
        <f ca="1">RESULTADOS!BL41</f>
        <v/>
      </c>
      <c r="CI24" s="110" t="str">
        <f ca="1">RESULTADOS!BM41</f>
        <v/>
      </c>
      <c r="CJ24" s="110" t="str">
        <f ca="1">RESULTADOS!BN41</f>
        <v/>
      </c>
      <c r="CK24" s="110" t="str">
        <f ca="1">RESULTADOS!BO41</f>
        <v/>
      </c>
      <c r="CL24" s="110" t="str">
        <f ca="1">RESULTADOS!BP41</f>
        <v/>
      </c>
      <c r="CM24" s="110" t="str">
        <f ca="1">RESULTADOS!BQ41</f>
        <v/>
      </c>
      <c r="CN24" s="110" t="str">
        <f ca="1">RESULTADOS!BR41</f>
        <v/>
      </c>
      <c r="CO24" s="110" t="str">
        <f ca="1">RESULTADOS!BS41</f>
        <v/>
      </c>
      <c r="CP24" s="110" t="str">
        <f ca="1">RESULTADOS!BT41</f>
        <v/>
      </c>
      <c r="CQ24" s="110" t="str">
        <f ca="1">RESULTADOS!BU41</f>
        <v/>
      </c>
      <c r="CR24" s="110" t="str">
        <f ca="1">RESULTADOS!BV41</f>
        <v/>
      </c>
      <c r="CS24" s="110" t="str">
        <f ca="1">RESULTADOS!BW41</f>
        <v/>
      </c>
      <c r="CT24" s="110" t="str">
        <f ca="1">RESULTADOS!BX41</f>
        <v/>
      </c>
      <c r="CU24" s="110" t="str">
        <f ca="1">RESULTADOS!BY41</f>
        <v/>
      </c>
      <c r="CV24" s="110" t="str">
        <f ca="1">RESULTADOS!BZ41</f>
        <v/>
      </c>
      <c r="CW24" s="110" t="str">
        <f ca="1">RESULTADOS!CA41</f>
        <v/>
      </c>
      <c r="CX24" s="110" t="str">
        <f ca="1">RESULTADOS!CB41</f>
        <v/>
      </c>
      <c r="CY24" s="110" t="str">
        <f ca="1">RESULTADOS!CC41</f>
        <v/>
      </c>
      <c r="CZ24" s="110" t="str">
        <f ca="1">RESULTADOS!CD41</f>
        <v/>
      </c>
      <c r="DA24" s="110" t="str">
        <f ca="1">RESULTADOS!CE41</f>
        <v/>
      </c>
      <c r="DB24" s="110" t="str">
        <f ca="1">RESULTADOS!CF41</f>
        <v/>
      </c>
      <c r="DC24" s="110" t="str">
        <f ca="1">RESULTADOS!CG41</f>
        <v/>
      </c>
      <c r="DD24" s="110" t="str">
        <f ca="1">RESULTADOS!CH41</f>
        <v/>
      </c>
      <c r="DE24" s="110" t="str">
        <f ca="1">RESULTADOS!CI41</f>
        <v/>
      </c>
      <c r="DF24" s="110" t="str">
        <f ca="1">RESULTADOS!CJ41</f>
        <v/>
      </c>
      <c r="DG24" s="110" t="str">
        <f ca="1">RESULTADOS!CK41</f>
        <v/>
      </c>
      <c r="DH24" s="110" t="str">
        <f ca="1">RESULTADOS!CL41</f>
        <v/>
      </c>
      <c r="DI24" s="110" t="str">
        <f ca="1">RESULTADOS!CM41</f>
        <v/>
      </c>
      <c r="DJ24" s="110" t="str">
        <f ca="1">RESULTADOS!CN41</f>
        <v/>
      </c>
      <c r="DK24" s="110" t="str">
        <f ca="1">RESULTADOS!CO41</f>
        <v/>
      </c>
      <c r="DL24" s="110" t="str">
        <f ca="1">RESULTADOS!CP41</f>
        <v/>
      </c>
      <c r="DM24" s="110" t="str">
        <f ca="1">RESULTADOS!CQ41</f>
        <v/>
      </c>
      <c r="DN24" s="110" t="str">
        <f ca="1">RESULTADOS!CR41</f>
        <v/>
      </c>
      <c r="DO24" s="112" t="str">
        <f>RESULTADOS!B82</f>
        <v/>
      </c>
      <c r="DP24" s="112" t="str">
        <f>RESULTADOS!C82</f>
        <v/>
      </c>
      <c r="DQ24" s="112" t="str">
        <f t="shared" si="1"/>
        <v/>
      </c>
      <c r="DR24" s="112" t="str" cm="1">
        <f t="array" ref="DR24">IFERROR(INDEX('03.Muestra'!$E$8:$E$42,SMALL(IF("Documento no web"='03.Muestra'!$D$8:$D$42,ROW('03.Muestra'!$E$8:$E$42)-MIN(ROW('03.Muestra'!$D$8:$D$42))+1,""),ROW()-2)),"")</f>
        <v/>
      </c>
      <c r="DS24" s="112" t="str">
        <f>RESULTADOS!D82</f>
        <v/>
      </c>
      <c r="DT24" s="112" t="str" cm="1">
        <f t="array" ref="DT24">IFERROR(INDEX('03.Muestra'!$G$8:$G$42,SMALL(IF("Documento no web"='03.Muestra'!$D$8:$D$42,ROW('03.Muestra'!$G$8:$G$42)-MIN(ROW('03.Muestra'!$D$8:$D$42))+1,""),ROW()-2)),"")</f>
        <v/>
      </c>
      <c r="DU24" s="187" t="str" cm="1">
        <f t="array" ref="DU24">IFERROR(INDEX('03.Muestra'!$H$8:$H$42,SMALL(IF("Documento no web"='03.Muestra'!$D$8:$D$42,ROW('03.Muestra'!$H$8:$H$42)-MIN(ROW('03.Muestra'!$D$8:$D$42))+1,""),ROW()-2)),"")</f>
        <v/>
      </c>
      <c r="DV24" s="110" t="str">
        <f ca="1">RESULTADOS!E82</f>
        <v/>
      </c>
      <c r="DW24" s="110" t="str">
        <f ca="1">RESULTADOS!F82</f>
        <v/>
      </c>
      <c r="DX24" s="110" t="str">
        <f ca="1">RESULTADOS!G82</f>
        <v/>
      </c>
      <c r="DY24" s="110" t="str">
        <f ca="1">RESULTADOS!H82</f>
        <v/>
      </c>
      <c r="DZ24" s="110" t="str">
        <f ca="1">RESULTADOS!I82</f>
        <v/>
      </c>
      <c r="EA24" s="110" t="str">
        <f ca="1">RESULTADOS!J82</f>
        <v/>
      </c>
      <c r="EB24" s="110" t="str">
        <f ca="1">RESULTADOS!K82</f>
        <v/>
      </c>
      <c r="EC24" s="110" t="str">
        <f ca="1">RESULTADOS!L82</f>
        <v/>
      </c>
      <c r="ED24" s="110" t="str">
        <f ca="1">RESULTADOS!M82</f>
        <v/>
      </c>
      <c r="EE24" s="110" t="str">
        <f ca="1">RESULTADOS!N82</f>
        <v/>
      </c>
      <c r="EF24" s="110" t="str">
        <f ca="1">RESULTADOS!O82</f>
        <v/>
      </c>
      <c r="EG24" s="110" t="str">
        <f ca="1">RESULTADOS!P82</f>
        <v/>
      </c>
      <c r="EH24" s="110" t="str">
        <f ca="1">RESULTADOS!Q82</f>
        <v/>
      </c>
      <c r="EI24" s="110" t="str">
        <f ca="1">RESULTADOS!R82</f>
        <v/>
      </c>
      <c r="EJ24" s="110" t="str">
        <f ca="1">RESULTADOS!S82</f>
        <v/>
      </c>
      <c r="EK24" s="110" t="str">
        <f ca="1">RESULTADOS!T82</f>
        <v/>
      </c>
      <c r="EL24" s="110" t="str">
        <f ca="1">RESULTADOS!U82</f>
        <v/>
      </c>
      <c r="EM24" s="110" t="str">
        <f ca="1">RESULTADOS!V82</f>
        <v/>
      </c>
      <c r="EN24" s="110" t="str">
        <f ca="1">RESULTADOS!W82</f>
        <v/>
      </c>
      <c r="EO24" s="110" t="str">
        <f ca="1">RESULTADOS!X82</f>
        <v/>
      </c>
      <c r="EP24" s="110" t="str">
        <f ca="1">RESULTADOS!Y82</f>
        <v/>
      </c>
      <c r="EQ24" s="110" t="str">
        <f ca="1">RESULTADOS!Z82</f>
        <v/>
      </c>
      <c r="ER24" s="110" t="str">
        <f ca="1">RESULTADOS!AA82</f>
        <v/>
      </c>
      <c r="ES24" s="110" t="str">
        <f ca="1">RESULTADOS!AB82</f>
        <v/>
      </c>
      <c r="ET24" s="110" t="str">
        <f ca="1">RESULTADOS!AC82</f>
        <v/>
      </c>
      <c r="EU24" s="110" t="str">
        <f ca="1">RESULTADOS!AD82</f>
        <v/>
      </c>
      <c r="EV24" s="110" t="str">
        <f ca="1">RESULTADOS!AE82</f>
        <v/>
      </c>
      <c r="EW24" s="110" t="str">
        <f ca="1">RESULTADOS!AF82</f>
        <v/>
      </c>
      <c r="EX24" s="110" t="str">
        <f ca="1">RESULTADOS!AG82</f>
        <v/>
      </c>
      <c r="EY24" s="110" t="str">
        <f ca="1">RESULTADOS!AH82</f>
        <v/>
      </c>
      <c r="EZ24" s="110" t="str">
        <f ca="1">RESULTADOS!AI82</f>
        <v/>
      </c>
      <c r="FA24" s="110" t="str">
        <f ca="1">RESULTADOS!AJ82</f>
        <v/>
      </c>
      <c r="FB24" s="110" t="str">
        <f ca="1">RESULTADOS!AK82</f>
        <v/>
      </c>
      <c r="FC24" s="110" t="str">
        <f ca="1">RESULTADOS!AL82</f>
        <v/>
      </c>
      <c r="FD24" s="110" t="str">
        <f ca="1">RESULTADOS!AM82</f>
        <v/>
      </c>
      <c r="FE24" s="110" t="str">
        <f ca="1">RESULTADOS!AN82</f>
        <v/>
      </c>
      <c r="FF24" s="110" t="str">
        <f ca="1">RESULTADOS!AO82</f>
        <v/>
      </c>
      <c r="FG24" s="110" t="str">
        <f ca="1">RESULTADOS!AP82</f>
        <v/>
      </c>
      <c r="FH24" s="110" t="str">
        <f ca="1">RESULTADOS!AQ82</f>
        <v/>
      </c>
      <c r="FI24" s="110" t="str">
        <f ca="1">RESULTADOS!AR82</f>
        <v/>
      </c>
      <c r="FJ24" s="110" t="str">
        <f ca="1">RESULTADOS!AS82</f>
        <v/>
      </c>
      <c r="FK24" s="110" t="str">
        <f ca="1">RESULTADOS!AT82</f>
        <v/>
      </c>
      <c r="FL24" s="110" t="str">
        <f ca="1">RESULTADOS!AU82</f>
        <v/>
      </c>
      <c r="FM24" s="110" t="str">
        <f ca="1">RESULTADOS!AV82</f>
        <v/>
      </c>
      <c r="FN24" s="110" t="str">
        <f ca="1">RESULTADOS!AW82</f>
        <v/>
      </c>
    </row>
    <row r="25" spans="3:170" ht="13">
      <c r="C25" s="108" t="s">
        <v>43</v>
      </c>
      <c r="D25" s="111" t="str">
        <f>'01.Definición de ámbito'!D55</f>
        <v>No</v>
      </c>
      <c r="K25" t="s">
        <v>94</v>
      </c>
      <c r="L25" s="112">
        <f ca="1">RESULTADOS!P9</f>
        <v>0</v>
      </c>
      <c r="M25" s="170">
        <f ca="1">RESULTADOS!Q9</f>
        <v>0</v>
      </c>
      <c r="T25" s="112" t="str">
        <f>RESULTADOS!B42</f>
        <v/>
      </c>
      <c r="U25" s="112" t="str">
        <f>RESULTADOS!C42</f>
        <v/>
      </c>
      <c r="V25" s="112" t="str">
        <f t="shared" si="0"/>
        <v/>
      </c>
      <c r="W25" s="112" t="str">
        <v/>
      </c>
      <c r="X25" s="112" t="str">
        <f>RESULTADOS!D42</f>
        <v/>
      </c>
      <c r="Y25" s="112" t="str">
        <v/>
      </c>
      <c r="Z25" s="187" t="str">
        <v/>
      </c>
      <c r="AA25" s="110" t="str">
        <f ca="1">RESULTADOS!E42</f>
        <v/>
      </c>
      <c r="AB25" s="110" t="str">
        <f ca="1">RESULTADOS!F42</f>
        <v/>
      </c>
      <c r="AC25" s="110" t="str">
        <f ca="1">RESULTADOS!G42</f>
        <v/>
      </c>
      <c r="AD25" s="110" t="str">
        <f ca="1">RESULTADOS!H42</f>
        <v/>
      </c>
      <c r="AE25" s="110" t="str">
        <f ca="1">RESULTADOS!I42</f>
        <v/>
      </c>
      <c r="AF25" s="110" t="str">
        <f ca="1">RESULTADOS!J42</f>
        <v/>
      </c>
      <c r="AG25" s="110" t="str">
        <f ca="1">RESULTADOS!K42</f>
        <v/>
      </c>
      <c r="AH25" s="110" t="str">
        <f ca="1">RESULTADOS!L42</f>
        <v/>
      </c>
      <c r="AI25" s="110" t="str">
        <f ca="1">RESULTADOS!M42</f>
        <v/>
      </c>
      <c r="AJ25" s="110" t="str">
        <f ca="1">RESULTADOS!N42</f>
        <v/>
      </c>
      <c r="AK25" s="110" t="str">
        <f ca="1">RESULTADOS!O42</f>
        <v/>
      </c>
      <c r="AL25" s="110" t="str">
        <f ca="1">RESULTADOS!P42</f>
        <v/>
      </c>
      <c r="AM25" s="110" t="str">
        <f ca="1">RESULTADOS!Q42</f>
        <v/>
      </c>
      <c r="AN25" s="110" t="str">
        <f ca="1">RESULTADOS!R42</f>
        <v/>
      </c>
      <c r="AO25" s="110" t="str">
        <f ca="1">RESULTADOS!S42</f>
        <v/>
      </c>
      <c r="AP25" s="110" t="str">
        <f ca="1">RESULTADOS!T42</f>
        <v/>
      </c>
      <c r="AQ25" s="110" t="str">
        <f ca="1">RESULTADOS!U42</f>
        <v/>
      </c>
      <c r="AR25" s="110" t="str">
        <f ca="1">RESULTADOS!V42</f>
        <v/>
      </c>
      <c r="AS25" s="110" t="str">
        <f ca="1">RESULTADOS!W42</f>
        <v/>
      </c>
      <c r="AT25" s="110" t="str">
        <f ca="1">RESULTADOS!X42</f>
        <v/>
      </c>
      <c r="AU25" s="110" t="str">
        <f ca="1">RESULTADOS!Y42</f>
        <v/>
      </c>
      <c r="AV25" s="110" t="str">
        <f ca="1">RESULTADOS!Z42</f>
        <v/>
      </c>
      <c r="AW25" s="110" t="str">
        <f ca="1">RESULTADOS!AA42</f>
        <v/>
      </c>
      <c r="AX25" s="110" t="str">
        <f ca="1">RESULTADOS!AB42</f>
        <v/>
      </c>
      <c r="AY25" s="110" t="str">
        <f ca="1">RESULTADOS!AC42</f>
        <v/>
      </c>
      <c r="AZ25" s="110" t="str">
        <f ca="1">RESULTADOS!AD42</f>
        <v/>
      </c>
      <c r="BA25" s="110" t="str">
        <f ca="1">RESULTADOS!AE42</f>
        <v/>
      </c>
      <c r="BB25" s="110" t="str">
        <f ca="1">RESULTADOS!AF42</f>
        <v/>
      </c>
      <c r="BC25" s="110" t="str">
        <f ca="1">RESULTADOS!AG42</f>
        <v/>
      </c>
      <c r="BD25" s="110" t="str">
        <f ca="1">RESULTADOS!AH42</f>
        <v/>
      </c>
      <c r="BE25" s="110" t="str">
        <f ca="1">RESULTADOS!AI42</f>
        <v/>
      </c>
      <c r="BF25" s="110" t="str">
        <f ca="1">RESULTADOS!AJ42</f>
        <v/>
      </c>
      <c r="BG25" s="110" t="str">
        <f ca="1">RESULTADOS!AK42</f>
        <v/>
      </c>
      <c r="BH25" s="110" t="str">
        <f ca="1">RESULTADOS!AL42</f>
        <v/>
      </c>
      <c r="BI25" s="110" t="str">
        <f ca="1">RESULTADOS!AM42</f>
        <v/>
      </c>
      <c r="BJ25" s="110" t="str">
        <f ca="1">RESULTADOS!AN42</f>
        <v/>
      </c>
      <c r="BK25" s="110" t="str">
        <f ca="1">RESULTADOS!AO42</f>
        <v/>
      </c>
      <c r="BL25" s="110" t="str">
        <f ca="1">RESULTADOS!AP42</f>
        <v/>
      </c>
      <c r="BM25" s="110" t="str">
        <f ca="1">RESULTADOS!AQ42</f>
        <v/>
      </c>
      <c r="BN25" s="110" t="str">
        <f ca="1">RESULTADOS!AR42</f>
        <v/>
      </c>
      <c r="BO25" s="110" t="str">
        <f ca="1">RESULTADOS!AS42</f>
        <v/>
      </c>
      <c r="BP25" s="110" t="str">
        <f ca="1">RESULTADOS!AT42</f>
        <v/>
      </c>
      <c r="BQ25" s="110" t="str">
        <f ca="1">RESULTADOS!AU42</f>
        <v/>
      </c>
      <c r="BR25" s="110" t="str">
        <f ca="1">RESULTADOS!AV42</f>
        <v/>
      </c>
      <c r="BS25" s="110" t="str">
        <f ca="1">RESULTADOS!AW42</f>
        <v/>
      </c>
      <c r="BT25" s="110" t="str">
        <f ca="1">RESULTADOS!AX42</f>
        <v/>
      </c>
      <c r="BU25" s="110" t="str">
        <f ca="1">RESULTADOS!AY42</f>
        <v/>
      </c>
      <c r="BV25" s="110" t="str">
        <f ca="1">RESULTADOS!AZ42</f>
        <v/>
      </c>
      <c r="BW25" s="110" t="str">
        <f ca="1">RESULTADOS!BA42</f>
        <v/>
      </c>
      <c r="BX25" s="110" t="str">
        <f ca="1">RESULTADOS!BB42</f>
        <v/>
      </c>
      <c r="BY25" s="110" t="str">
        <f ca="1">RESULTADOS!BC42</f>
        <v/>
      </c>
      <c r="BZ25" s="110" t="str">
        <f ca="1">RESULTADOS!BD42</f>
        <v/>
      </c>
      <c r="CA25" s="110" t="str">
        <f ca="1">RESULTADOS!BE42</f>
        <v/>
      </c>
      <c r="CB25" s="110" t="str">
        <f ca="1">RESULTADOS!BF42</f>
        <v/>
      </c>
      <c r="CC25" s="110" t="str">
        <f ca="1">RESULTADOS!BG42</f>
        <v/>
      </c>
      <c r="CD25" s="110" t="str">
        <f ca="1">RESULTADOS!BH42</f>
        <v/>
      </c>
      <c r="CE25" s="110" t="str">
        <f ca="1">RESULTADOS!BI42</f>
        <v/>
      </c>
      <c r="CF25" s="110" t="str">
        <f ca="1">RESULTADOS!BJ42</f>
        <v/>
      </c>
      <c r="CG25" s="110" t="str">
        <f ca="1">RESULTADOS!BK42</f>
        <v/>
      </c>
      <c r="CH25" s="110" t="str">
        <f ca="1">RESULTADOS!BL42</f>
        <v/>
      </c>
      <c r="CI25" s="110" t="str">
        <f ca="1">RESULTADOS!BM42</f>
        <v/>
      </c>
      <c r="CJ25" s="110" t="str">
        <f ca="1">RESULTADOS!BN42</f>
        <v/>
      </c>
      <c r="CK25" s="110" t="str">
        <f ca="1">RESULTADOS!BO42</f>
        <v/>
      </c>
      <c r="CL25" s="110" t="str">
        <f ca="1">RESULTADOS!BP42</f>
        <v/>
      </c>
      <c r="CM25" s="110" t="str">
        <f ca="1">RESULTADOS!BQ42</f>
        <v/>
      </c>
      <c r="CN25" s="110" t="str">
        <f ca="1">RESULTADOS!BR42</f>
        <v/>
      </c>
      <c r="CO25" s="110" t="str">
        <f ca="1">RESULTADOS!BS42</f>
        <v/>
      </c>
      <c r="CP25" s="110" t="str">
        <f ca="1">RESULTADOS!BT42</f>
        <v/>
      </c>
      <c r="CQ25" s="110" t="str">
        <f ca="1">RESULTADOS!BU42</f>
        <v/>
      </c>
      <c r="CR25" s="110" t="str">
        <f ca="1">RESULTADOS!BV42</f>
        <v/>
      </c>
      <c r="CS25" s="110" t="str">
        <f ca="1">RESULTADOS!BW42</f>
        <v/>
      </c>
      <c r="CT25" s="110" t="str">
        <f ca="1">RESULTADOS!BX42</f>
        <v/>
      </c>
      <c r="CU25" s="110" t="str">
        <f ca="1">RESULTADOS!BY42</f>
        <v/>
      </c>
      <c r="CV25" s="110" t="str">
        <f ca="1">RESULTADOS!BZ42</f>
        <v/>
      </c>
      <c r="CW25" s="110" t="str">
        <f ca="1">RESULTADOS!CA42</f>
        <v/>
      </c>
      <c r="CX25" s="110" t="str">
        <f ca="1">RESULTADOS!CB42</f>
        <v/>
      </c>
      <c r="CY25" s="110" t="str">
        <f ca="1">RESULTADOS!CC42</f>
        <v/>
      </c>
      <c r="CZ25" s="110" t="str">
        <f ca="1">RESULTADOS!CD42</f>
        <v/>
      </c>
      <c r="DA25" s="110" t="str">
        <f ca="1">RESULTADOS!CE42</f>
        <v/>
      </c>
      <c r="DB25" s="110" t="str">
        <f ca="1">RESULTADOS!CF42</f>
        <v/>
      </c>
      <c r="DC25" s="110" t="str">
        <f ca="1">RESULTADOS!CG42</f>
        <v/>
      </c>
      <c r="DD25" s="110" t="str">
        <f ca="1">RESULTADOS!CH42</f>
        <v/>
      </c>
      <c r="DE25" s="110" t="str">
        <f ca="1">RESULTADOS!CI42</f>
        <v/>
      </c>
      <c r="DF25" s="110" t="str">
        <f ca="1">RESULTADOS!CJ42</f>
        <v/>
      </c>
      <c r="DG25" s="110" t="str">
        <f ca="1">RESULTADOS!CK42</f>
        <v/>
      </c>
      <c r="DH25" s="110" t="str">
        <f ca="1">RESULTADOS!CL42</f>
        <v/>
      </c>
      <c r="DI25" s="110" t="str">
        <f ca="1">RESULTADOS!CM42</f>
        <v/>
      </c>
      <c r="DJ25" s="110" t="str">
        <f ca="1">RESULTADOS!CN42</f>
        <v/>
      </c>
      <c r="DK25" s="110" t="str">
        <f ca="1">RESULTADOS!CO42</f>
        <v/>
      </c>
      <c r="DL25" s="110" t="str">
        <f ca="1">RESULTADOS!CP42</f>
        <v/>
      </c>
      <c r="DM25" s="110" t="str">
        <f ca="1">RESULTADOS!CQ42</f>
        <v/>
      </c>
      <c r="DN25" s="110" t="str">
        <f ca="1">RESULTADOS!CR42</f>
        <v/>
      </c>
      <c r="DO25" s="112" t="str">
        <f>RESULTADOS!B83</f>
        <v/>
      </c>
      <c r="DP25" s="112" t="str">
        <f>RESULTADOS!C83</f>
        <v/>
      </c>
      <c r="DQ25" s="112" t="str">
        <f t="shared" si="1"/>
        <v/>
      </c>
      <c r="DR25" s="112" t="str" cm="1">
        <f t="array" ref="DR25">IFERROR(INDEX('03.Muestra'!$E$8:$E$42,SMALL(IF("Documento no web"='03.Muestra'!$D$8:$D$42,ROW('03.Muestra'!$E$8:$E$42)-MIN(ROW('03.Muestra'!$D$8:$D$42))+1,""),ROW()-2)),"")</f>
        <v/>
      </c>
      <c r="DS25" s="112" t="str">
        <f>RESULTADOS!D83</f>
        <v/>
      </c>
      <c r="DT25" s="112" t="str" cm="1">
        <f t="array" ref="DT25">IFERROR(INDEX('03.Muestra'!$G$8:$G$42,SMALL(IF("Documento no web"='03.Muestra'!$D$8:$D$42,ROW('03.Muestra'!$G$8:$G$42)-MIN(ROW('03.Muestra'!$D$8:$D$42))+1,""),ROW()-2)),"")</f>
        <v/>
      </c>
      <c r="DU25" s="187" t="str" cm="1">
        <f t="array" ref="DU25">IFERROR(INDEX('03.Muestra'!$H$8:$H$42,SMALL(IF("Documento no web"='03.Muestra'!$D$8:$D$42,ROW('03.Muestra'!$H$8:$H$42)-MIN(ROW('03.Muestra'!$D$8:$D$42))+1,""),ROW()-2)),"")</f>
        <v/>
      </c>
      <c r="DV25" s="110" t="str">
        <f ca="1">RESULTADOS!E83</f>
        <v/>
      </c>
      <c r="DW25" s="110" t="str">
        <f ca="1">RESULTADOS!F83</f>
        <v/>
      </c>
      <c r="DX25" s="110" t="str">
        <f ca="1">RESULTADOS!G83</f>
        <v/>
      </c>
      <c r="DY25" s="110" t="str">
        <f ca="1">RESULTADOS!H83</f>
        <v/>
      </c>
      <c r="DZ25" s="110" t="str">
        <f ca="1">RESULTADOS!I83</f>
        <v/>
      </c>
      <c r="EA25" s="110" t="str">
        <f ca="1">RESULTADOS!J83</f>
        <v/>
      </c>
      <c r="EB25" s="110" t="str">
        <f ca="1">RESULTADOS!K83</f>
        <v/>
      </c>
      <c r="EC25" s="110" t="str">
        <f ca="1">RESULTADOS!L83</f>
        <v/>
      </c>
      <c r="ED25" s="110" t="str">
        <f ca="1">RESULTADOS!M83</f>
        <v/>
      </c>
      <c r="EE25" s="110" t="str">
        <f ca="1">RESULTADOS!N83</f>
        <v/>
      </c>
      <c r="EF25" s="110" t="str">
        <f ca="1">RESULTADOS!O83</f>
        <v/>
      </c>
      <c r="EG25" s="110" t="str">
        <f ca="1">RESULTADOS!P83</f>
        <v/>
      </c>
      <c r="EH25" s="110" t="str">
        <f ca="1">RESULTADOS!Q83</f>
        <v/>
      </c>
      <c r="EI25" s="110" t="str">
        <f ca="1">RESULTADOS!R83</f>
        <v/>
      </c>
      <c r="EJ25" s="110" t="str">
        <f ca="1">RESULTADOS!S83</f>
        <v/>
      </c>
      <c r="EK25" s="110" t="str">
        <f ca="1">RESULTADOS!T83</f>
        <v/>
      </c>
      <c r="EL25" s="110" t="str">
        <f ca="1">RESULTADOS!U83</f>
        <v/>
      </c>
      <c r="EM25" s="110" t="str">
        <f ca="1">RESULTADOS!V83</f>
        <v/>
      </c>
      <c r="EN25" s="110" t="str">
        <f ca="1">RESULTADOS!W83</f>
        <v/>
      </c>
      <c r="EO25" s="110" t="str">
        <f ca="1">RESULTADOS!X83</f>
        <v/>
      </c>
      <c r="EP25" s="110" t="str">
        <f ca="1">RESULTADOS!Y83</f>
        <v/>
      </c>
      <c r="EQ25" s="110" t="str">
        <f ca="1">RESULTADOS!Z83</f>
        <v/>
      </c>
      <c r="ER25" s="110" t="str">
        <f ca="1">RESULTADOS!AA83</f>
        <v/>
      </c>
      <c r="ES25" s="110" t="str">
        <f ca="1">RESULTADOS!AB83</f>
        <v/>
      </c>
      <c r="ET25" s="110" t="str">
        <f ca="1">RESULTADOS!AC83</f>
        <v/>
      </c>
      <c r="EU25" s="110" t="str">
        <f ca="1">RESULTADOS!AD83</f>
        <v/>
      </c>
      <c r="EV25" s="110" t="str">
        <f ca="1">RESULTADOS!AE83</f>
        <v/>
      </c>
      <c r="EW25" s="110" t="str">
        <f ca="1">RESULTADOS!AF83</f>
        <v/>
      </c>
      <c r="EX25" s="110" t="str">
        <f ca="1">RESULTADOS!AG83</f>
        <v/>
      </c>
      <c r="EY25" s="110" t="str">
        <f ca="1">RESULTADOS!AH83</f>
        <v/>
      </c>
      <c r="EZ25" s="110" t="str">
        <f ca="1">RESULTADOS!AI83</f>
        <v/>
      </c>
      <c r="FA25" s="110" t="str">
        <f ca="1">RESULTADOS!AJ83</f>
        <v/>
      </c>
      <c r="FB25" s="110" t="str">
        <f ca="1">RESULTADOS!AK83</f>
        <v/>
      </c>
      <c r="FC25" s="110" t="str">
        <f ca="1">RESULTADOS!AL83</f>
        <v/>
      </c>
      <c r="FD25" s="110" t="str">
        <f ca="1">RESULTADOS!AM83</f>
        <v/>
      </c>
      <c r="FE25" s="110" t="str">
        <f ca="1">RESULTADOS!AN83</f>
        <v/>
      </c>
      <c r="FF25" s="110" t="str">
        <f ca="1">RESULTADOS!AO83</f>
        <v/>
      </c>
      <c r="FG25" s="110" t="str">
        <f ca="1">RESULTADOS!AP83</f>
        <v/>
      </c>
      <c r="FH25" s="110" t="str">
        <f ca="1">RESULTADOS!AQ83</f>
        <v/>
      </c>
      <c r="FI25" s="110" t="str">
        <f ca="1">RESULTADOS!AR83</f>
        <v/>
      </c>
      <c r="FJ25" s="110" t="str">
        <f ca="1">RESULTADOS!AS83</f>
        <v/>
      </c>
      <c r="FK25" s="110" t="str">
        <f ca="1">RESULTADOS!AT83</f>
        <v/>
      </c>
      <c r="FL25" s="110" t="str">
        <f ca="1">RESULTADOS!AU83</f>
        <v/>
      </c>
      <c r="FM25" s="110" t="str">
        <f ca="1">RESULTADOS!AV83</f>
        <v/>
      </c>
      <c r="FN25" s="110" t="str">
        <f ca="1">RESULTADOS!AW83</f>
        <v/>
      </c>
    </row>
    <row r="26" spans="3:170" ht="13">
      <c r="C26" s="108" t="s">
        <v>44</v>
      </c>
      <c r="D26" s="111" t="str">
        <f>'01.Definición de ámbito'!D56</f>
        <v>No</v>
      </c>
      <c r="K26" t="s">
        <v>265</v>
      </c>
      <c r="L26" s="112">
        <f ca="1">RESULTADOS!P11</f>
        <v>0</v>
      </c>
      <c r="M26" s="170">
        <f ca="1">RESULTADOS!Q11</f>
        <v>0</v>
      </c>
      <c r="T26" s="112" t="str">
        <f>RESULTADOS!B43</f>
        <v/>
      </c>
      <c r="U26" s="112" t="str">
        <f>RESULTADOS!C43</f>
        <v/>
      </c>
      <c r="V26" s="112" t="str">
        <f t="shared" si="0"/>
        <v/>
      </c>
      <c r="W26" s="112" t="str">
        <v/>
      </c>
      <c r="X26" s="112" t="str">
        <f>RESULTADOS!D43</f>
        <v/>
      </c>
      <c r="Y26" s="112" t="str">
        <v/>
      </c>
      <c r="Z26" s="187" t="str">
        <v/>
      </c>
      <c r="AA26" s="110" t="str">
        <f ca="1">RESULTADOS!E43</f>
        <v/>
      </c>
      <c r="AB26" s="110" t="str">
        <f ca="1">RESULTADOS!F43</f>
        <v/>
      </c>
      <c r="AC26" s="110" t="str">
        <f ca="1">RESULTADOS!G43</f>
        <v/>
      </c>
      <c r="AD26" s="110" t="str">
        <f ca="1">RESULTADOS!H43</f>
        <v/>
      </c>
      <c r="AE26" s="110" t="str">
        <f ca="1">RESULTADOS!I43</f>
        <v/>
      </c>
      <c r="AF26" s="110" t="str">
        <f ca="1">RESULTADOS!J43</f>
        <v/>
      </c>
      <c r="AG26" s="110" t="str">
        <f ca="1">RESULTADOS!K43</f>
        <v/>
      </c>
      <c r="AH26" s="110" t="str">
        <f ca="1">RESULTADOS!L43</f>
        <v/>
      </c>
      <c r="AI26" s="110" t="str">
        <f ca="1">RESULTADOS!M43</f>
        <v/>
      </c>
      <c r="AJ26" s="110" t="str">
        <f ca="1">RESULTADOS!N43</f>
        <v/>
      </c>
      <c r="AK26" s="110" t="str">
        <f ca="1">RESULTADOS!O43</f>
        <v/>
      </c>
      <c r="AL26" s="110" t="str">
        <f ca="1">RESULTADOS!P43</f>
        <v/>
      </c>
      <c r="AM26" s="110" t="str">
        <f ca="1">RESULTADOS!Q43</f>
        <v/>
      </c>
      <c r="AN26" s="110" t="str">
        <f ca="1">RESULTADOS!R43</f>
        <v/>
      </c>
      <c r="AO26" s="110" t="str">
        <f ca="1">RESULTADOS!S43</f>
        <v/>
      </c>
      <c r="AP26" s="110" t="str">
        <f ca="1">RESULTADOS!T43</f>
        <v/>
      </c>
      <c r="AQ26" s="110" t="str">
        <f ca="1">RESULTADOS!U43</f>
        <v/>
      </c>
      <c r="AR26" s="110" t="str">
        <f ca="1">RESULTADOS!V43</f>
        <v/>
      </c>
      <c r="AS26" s="110" t="str">
        <f ca="1">RESULTADOS!W43</f>
        <v/>
      </c>
      <c r="AT26" s="110" t="str">
        <f ca="1">RESULTADOS!X43</f>
        <v/>
      </c>
      <c r="AU26" s="110" t="str">
        <f ca="1">RESULTADOS!Y43</f>
        <v/>
      </c>
      <c r="AV26" s="110" t="str">
        <f ca="1">RESULTADOS!Z43</f>
        <v/>
      </c>
      <c r="AW26" s="110" t="str">
        <f ca="1">RESULTADOS!AA43</f>
        <v/>
      </c>
      <c r="AX26" s="110" t="str">
        <f ca="1">RESULTADOS!AB43</f>
        <v/>
      </c>
      <c r="AY26" s="110" t="str">
        <f ca="1">RESULTADOS!AC43</f>
        <v/>
      </c>
      <c r="AZ26" s="110" t="str">
        <f ca="1">RESULTADOS!AD43</f>
        <v/>
      </c>
      <c r="BA26" s="110" t="str">
        <f ca="1">RESULTADOS!AE43</f>
        <v/>
      </c>
      <c r="BB26" s="110" t="str">
        <f ca="1">RESULTADOS!AF43</f>
        <v/>
      </c>
      <c r="BC26" s="110" t="str">
        <f ca="1">RESULTADOS!AG43</f>
        <v/>
      </c>
      <c r="BD26" s="110" t="str">
        <f ca="1">RESULTADOS!AH43</f>
        <v/>
      </c>
      <c r="BE26" s="110" t="str">
        <f ca="1">RESULTADOS!AI43</f>
        <v/>
      </c>
      <c r="BF26" s="110" t="str">
        <f ca="1">RESULTADOS!AJ43</f>
        <v/>
      </c>
      <c r="BG26" s="110" t="str">
        <f ca="1">RESULTADOS!AK43</f>
        <v/>
      </c>
      <c r="BH26" s="110" t="str">
        <f ca="1">RESULTADOS!AL43</f>
        <v/>
      </c>
      <c r="BI26" s="110" t="str">
        <f ca="1">RESULTADOS!AM43</f>
        <v/>
      </c>
      <c r="BJ26" s="110" t="str">
        <f ca="1">RESULTADOS!AN43</f>
        <v/>
      </c>
      <c r="BK26" s="110" t="str">
        <f ca="1">RESULTADOS!AO43</f>
        <v/>
      </c>
      <c r="BL26" s="110" t="str">
        <f ca="1">RESULTADOS!AP43</f>
        <v/>
      </c>
      <c r="BM26" s="110" t="str">
        <f ca="1">RESULTADOS!AQ43</f>
        <v/>
      </c>
      <c r="BN26" s="110" t="str">
        <f ca="1">RESULTADOS!AR43</f>
        <v/>
      </c>
      <c r="BO26" s="110" t="str">
        <f ca="1">RESULTADOS!AS43</f>
        <v/>
      </c>
      <c r="BP26" s="110" t="str">
        <f ca="1">RESULTADOS!AT43</f>
        <v/>
      </c>
      <c r="BQ26" s="110" t="str">
        <f ca="1">RESULTADOS!AU43</f>
        <v/>
      </c>
      <c r="BR26" s="110" t="str">
        <f ca="1">RESULTADOS!AV43</f>
        <v/>
      </c>
      <c r="BS26" s="110" t="str">
        <f ca="1">RESULTADOS!AW43</f>
        <v/>
      </c>
      <c r="BT26" s="110" t="str">
        <f ca="1">RESULTADOS!AX43</f>
        <v/>
      </c>
      <c r="BU26" s="110" t="str">
        <f ca="1">RESULTADOS!AY43</f>
        <v/>
      </c>
      <c r="BV26" s="110" t="str">
        <f ca="1">RESULTADOS!AZ43</f>
        <v/>
      </c>
      <c r="BW26" s="110" t="str">
        <f ca="1">RESULTADOS!BA43</f>
        <v/>
      </c>
      <c r="BX26" s="110" t="str">
        <f ca="1">RESULTADOS!BB43</f>
        <v/>
      </c>
      <c r="BY26" s="110" t="str">
        <f ca="1">RESULTADOS!BC43</f>
        <v/>
      </c>
      <c r="BZ26" s="110" t="str">
        <f ca="1">RESULTADOS!BD43</f>
        <v/>
      </c>
      <c r="CA26" s="110" t="str">
        <f ca="1">RESULTADOS!BE43</f>
        <v/>
      </c>
      <c r="CB26" s="110" t="str">
        <f ca="1">RESULTADOS!BF43</f>
        <v/>
      </c>
      <c r="CC26" s="110" t="str">
        <f ca="1">RESULTADOS!BG43</f>
        <v/>
      </c>
      <c r="CD26" s="110" t="str">
        <f ca="1">RESULTADOS!BH43</f>
        <v/>
      </c>
      <c r="CE26" s="110" t="str">
        <f ca="1">RESULTADOS!BI43</f>
        <v/>
      </c>
      <c r="CF26" s="110" t="str">
        <f ca="1">RESULTADOS!BJ43</f>
        <v/>
      </c>
      <c r="CG26" s="110" t="str">
        <f ca="1">RESULTADOS!BK43</f>
        <v/>
      </c>
      <c r="CH26" s="110" t="str">
        <f ca="1">RESULTADOS!BL43</f>
        <v/>
      </c>
      <c r="CI26" s="110" t="str">
        <f ca="1">RESULTADOS!BM43</f>
        <v/>
      </c>
      <c r="CJ26" s="110" t="str">
        <f ca="1">RESULTADOS!BN43</f>
        <v/>
      </c>
      <c r="CK26" s="110" t="str">
        <f ca="1">RESULTADOS!BO43</f>
        <v/>
      </c>
      <c r="CL26" s="110" t="str">
        <f ca="1">RESULTADOS!BP43</f>
        <v/>
      </c>
      <c r="CM26" s="110" t="str">
        <f ca="1">RESULTADOS!BQ43</f>
        <v/>
      </c>
      <c r="CN26" s="110" t="str">
        <f ca="1">RESULTADOS!BR43</f>
        <v/>
      </c>
      <c r="CO26" s="110" t="str">
        <f ca="1">RESULTADOS!BS43</f>
        <v/>
      </c>
      <c r="CP26" s="110" t="str">
        <f ca="1">RESULTADOS!BT43</f>
        <v/>
      </c>
      <c r="CQ26" s="110" t="str">
        <f ca="1">RESULTADOS!BU43</f>
        <v/>
      </c>
      <c r="CR26" s="110" t="str">
        <f ca="1">RESULTADOS!BV43</f>
        <v/>
      </c>
      <c r="CS26" s="110" t="str">
        <f ca="1">RESULTADOS!BW43</f>
        <v/>
      </c>
      <c r="CT26" s="110" t="str">
        <f ca="1">RESULTADOS!BX43</f>
        <v/>
      </c>
      <c r="CU26" s="110" t="str">
        <f ca="1">RESULTADOS!BY43</f>
        <v/>
      </c>
      <c r="CV26" s="110" t="str">
        <f ca="1">RESULTADOS!BZ43</f>
        <v/>
      </c>
      <c r="CW26" s="110" t="str">
        <f ca="1">RESULTADOS!CA43</f>
        <v/>
      </c>
      <c r="CX26" s="110" t="str">
        <f ca="1">RESULTADOS!CB43</f>
        <v/>
      </c>
      <c r="CY26" s="110" t="str">
        <f ca="1">RESULTADOS!CC43</f>
        <v/>
      </c>
      <c r="CZ26" s="110" t="str">
        <f ca="1">RESULTADOS!CD43</f>
        <v/>
      </c>
      <c r="DA26" s="110" t="str">
        <f ca="1">RESULTADOS!CE43</f>
        <v/>
      </c>
      <c r="DB26" s="110" t="str">
        <f ca="1">RESULTADOS!CF43</f>
        <v/>
      </c>
      <c r="DC26" s="110" t="str">
        <f ca="1">RESULTADOS!CG43</f>
        <v/>
      </c>
      <c r="DD26" s="110" t="str">
        <f ca="1">RESULTADOS!CH43</f>
        <v/>
      </c>
      <c r="DE26" s="110" t="str">
        <f ca="1">RESULTADOS!CI43</f>
        <v/>
      </c>
      <c r="DF26" s="110" t="str">
        <f ca="1">RESULTADOS!CJ43</f>
        <v/>
      </c>
      <c r="DG26" s="110" t="str">
        <f ca="1">RESULTADOS!CK43</f>
        <v/>
      </c>
      <c r="DH26" s="110" t="str">
        <f ca="1">RESULTADOS!CL43</f>
        <v/>
      </c>
      <c r="DI26" s="110" t="str">
        <f ca="1">RESULTADOS!CM43</f>
        <v/>
      </c>
      <c r="DJ26" s="110" t="str">
        <f ca="1">RESULTADOS!CN43</f>
        <v/>
      </c>
      <c r="DK26" s="110" t="str">
        <f ca="1">RESULTADOS!CO43</f>
        <v/>
      </c>
      <c r="DL26" s="110" t="str">
        <f ca="1">RESULTADOS!CP43</f>
        <v/>
      </c>
      <c r="DM26" s="110" t="str">
        <f ca="1">RESULTADOS!CQ43</f>
        <v/>
      </c>
      <c r="DN26" s="110" t="str">
        <f ca="1">RESULTADOS!CR43</f>
        <v/>
      </c>
      <c r="DO26" s="112" t="str">
        <f>RESULTADOS!B84</f>
        <v/>
      </c>
      <c r="DP26" s="112" t="str">
        <f>RESULTADOS!C84</f>
        <v/>
      </c>
      <c r="DQ26" s="112" t="str">
        <f t="shared" si="1"/>
        <v/>
      </c>
      <c r="DR26" s="112" t="str" cm="1">
        <f t="array" ref="DR26">IFERROR(INDEX('03.Muestra'!$E$8:$E$42,SMALL(IF("Documento no web"='03.Muestra'!$D$8:$D$42,ROW('03.Muestra'!$E$8:$E$42)-MIN(ROW('03.Muestra'!$D$8:$D$42))+1,""),ROW()-2)),"")</f>
        <v/>
      </c>
      <c r="DS26" s="112" t="str">
        <f>RESULTADOS!D84</f>
        <v/>
      </c>
      <c r="DT26" s="112" t="str" cm="1">
        <f t="array" ref="DT26">IFERROR(INDEX('03.Muestra'!$G$8:$G$42,SMALL(IF("Documento no web"='03.Muestra'!$D$8:$D$42,ROW('03.Muestra'!$G$8:$G$42)-MIN(ROW('03.Muestra'!$D$8:$D$42))+1,""),ROW()-2)),"")</f>
        <v/>
      </c>
      <c r="DU26" s="187" t="str" cm="1">
        <f t="array" ref="DU26">IFERROR(INDEX('03.Muestra'!$H$8:$H$42,SMALL(IF("Documento no web"='03.Muestra'!$D$8:$D$42,ROW('03.Muestra'!$H$8:$H$42)-MIN(ROW('03.Muestra'!$D$8:$D$42))+1,""),ROW()-2)),"")</f>
        <v/>
      </c>
      <c r="DV26" s="110" t="str">
        <f ca="1">RESULTADOS!E84</f>
        <v/>
      </c>
      <c r="DW26" s="110" t="str">
        <f ca="1">RESULTADOS!F84</f>
        <v/>
      </c>
      <c r="DX26" s="110" t="str">
        <f ca="1">RESULTADOS!G84</f>
        <v/>
      </c>
      <c r="DY26" s="110" t="str">
        <f ca="1">RESULTADOS!H84</f>
        <v/>
      </c>
      <c r="DZ26" s="110" t="str">
        <f ca="1">RESULTADOS!I84</f>
        <v/>
      </c>
      <c r="EA26" s="110" t="str">
        <f ca="1">RESULTADOS!J84</f>
        <v/>
      </c>
      <c r="EB26" s="110" t="str">
        <f ca="1">RESULTADOS!K84</f>
        <v/>
      </c>
      <c r="EC26" s="110" t="str">
        <f ca="1">RESULTADOS!L84</f>
        <v/>
      </c>
      <c r="ED26" s="110" t="str">
        <f ca="1">RESULTADOS!M84</f>
        <v/>
      </c>
      <c r="EE26" s="110" t="str">
        <f ca="1">RESULTADOS!N84</f>
        <v/>
      </c>
      <c r="EF26" s="110" t="str">
        <f ca="1">RESULTADOS!O84</f>
        <v/>
      </c>
      <c r="EG26" s="110" t="str">
        <f ca="1">RESULTADOS!P84</f>
        <v/>
      </c>
      <c r="EH26" s="110" t="str">
        <f ca="1">RESULTADOS!Q84</f>
        <v/>
      </c>
      <c r="EI26" s="110" t="str">
        <f ca="1">RESULTADOS!R84</f>
        <v/>
      </c>
      <c r="EJ26" s="110" t="str">
        <f ca="1">RESULTADOS!S84</f>
        <v/>
      </c>
      <c r="EK26" s="110" t="str">
        <f ca="1">RESULTADOS!T84</f>
        <v/>
      </c>
      <c r="EL26" s="110" t="str">
        <f ca="1">RESULTADOS!U84</f>
        <v/>
      </c>
      <c r="EM26" s="110" t="str">
        <f ca="1">RESULTADOS!V84</f>
        <v/>
      </c>
      <c r="EN26" s="110" t="str">
        <f ca="1">RESULTADOS!W84</f>
        <v/>
      </c>
      <c r="EO26" s="110" t="str">
        <f ca="1">RESULTADOS!X84</f>
        <v/>
      </c>
      <c r="EP26" s="110" t="str">
        <f ca="1">RESULTADOS!Y84</f>
        <v/>
      </c>
      <c r="EQ26" s="110" t="str">
        <f ca="1">RESULTADOS!Z84</f>
        <v/>
      </c>
      <c r="ER26" s="110" t="str">
        <f ca="1">RESULTADOS!AA84</f>
        <v/>
      </c>
      <c r="ES26" s="110" t="str">
        <f ca="1">RESULTADOS!AB84</f>
        <v/>
      </c>
      <c r="ET26" s="110" t="str">
        <f ca="1">RESULTADOS!AC84</f>
        <v/>
      </c>
      <c r="EU26" s="110" t="str">
        <f ca="1">RESULTADOS!AD84</f>
        <v/>
      </c>
      <c r="EV26" s="110" t="str">
        <f ca="1">RESULTADOS!AE84</f>
        <v/>
      </c>
      <c r="EW26" s="110" t="str">
        <f ca="1">RESULTADOS!AF84</f>
        <v/>
      </c>
      <c r="EX26" s="110" t="str">
        <f ca="1">RESULTADOS!AG84</f>
        <v/>
      </c>
      <c r="EY26" s="110" t="str">
        <f ca="1">RESULTADOS!AH84</f>
        <v/>
      </c>
      <c r="EZ26" s="110" t="str">
        <f ca="1">RESULTADOS!AI84</f>
        <v/>
      </c>
      <c r="FA26" s="110" t="str">
        <f ca="1">RESULTADOS!AJ84</f>
        <v/>
      </c>
      <c r="FB26" s="110" t="str">
        <f ca="1">RESULTADOS!AK84</f>
        <v/>
      </c>
      <c r="FC26" s="110" t="str">
        <f ca="1">RESULTADOS!AL84</f>
        <v/>
      </c>
      <c r="FD26" s="110" t="str">
        <f ca="1">RESULTADOS!AM84</f>
        <v/>
      </c>
      <c r="FE26" s="110" t="str">
        <f ca="1">RESULTADOS!AN84</f>
        <v/>
      </c>
      <c r="FF26" s="110" t="str">
        <f ca="1">RESULTADOS!AO84</f>
        <v/>
      </c>
      <c r="FG26" s="110" t="str">
        <f ca="1">RESULTADOS!AP84</f>
        <v/>
      </c>
      <c r="FH26" s="110" t="str">
        <f ca="1">RESULTADOS!AQ84</f>
        <v/>
      </c>
      <c r="FI26" s="110" t="str">
        <f ca="1">RESULTADOS!AR84</f>
        <v/>
      </c>
      <c r="FJ26" s="110" t="str">
        <f ca="1">RESULTADOS!AS84</f>
        <v/>
      </c>
      <c r="FK26" s="110" t="str">
        <f ca="1">RESULTADOS!AT84</f>
        <v/>
      </c>
      <c r="FL26" s="110" t="str">
        <f ca="1">RESULTADOS!AU84</f>
        <v/>
      </c>
      <c r="FM26" s="110" t="str">
        <f ca="1">RESULTADOS!AV84</f>
        <v/>
      </c>
      <c r="FN26" s="110" t="str">
        <f ca="1">RESULTADOS!AW84</f>
        <v/>
      </c>
    </row>
    <row r="27" spans="3:170" ht="13">
      <c r="C27" s="108"/>
      <c r="T27" s="112" t="str">
        <f>RESULTADOS!B44</f>
        <v/>
      </c>
      <c r="U27" s="112" t="str">
        <f>RESULTADOS!C44</f>
        <v/>
      </c>
      <c r="V27" s="112" t="str">
        <f t="shared" si="0"/>
        <v/>
      </c>
      <c r="W27" s="112" t="str">
        <v/>
      </c>
      <c r="X27" s="112" t="str">
        <f>RESULTADOS!D44</f>
        <v/>
      </c>
      <c r="Y27" s="112" t="str">
        <v/>
      </c>
      <c r="Z27" s="187" t="str">
        <v/>
      </c>
      <c r="AA27" s="110" t="str">
        <f ca="1">RESULTADOS!E44</f>
        <v/>
      </c>
      <c r="AB27" s="110" t="str">
        <f ca="1">RESULTADOS!F44</f>
        <v/>
      </c>
      <c r="AC27" s="110" t="str">
        <f ca="1">RESULTADOS!G44</f>
        <v/>
      </c>
      <c r="AD27" s="110" t="str">
        <f ca="1">RESULTADOS!H44</f>
        <v/>
      </c>
      <c r="AE27" s="110" t="str">
        <f ca="1">RESULTADOS!I44</f>
        <v/>
      </c>
      <c r="AF27" s="110" t="str">
        <f ca="1">RESULTADOS!J44</f>
        <v/>
      </c>
      <c r="AG27" s="110" t="str">
        <f ca="1">RESULTADOS!K44</f>
        <v/>
      </c>
      <c r="AH27" s="110" t="str">
        <f ca="1">RESULTADOS!L44</f>
        <v/>
      </c>
      <c r="AI27" s="110" t="str">
        <f ca="1">RESULTADOS!M44</f>
        <v/>
      </c>
      <c r="AJ27" s="110" t="str">
        <f ca="1">RESULTADOS!N44</f>
        <v/>
      </c>
      <c r="AK27" s="110" t="str">
        <f ca="1">RESULTADOS!O44</f>
        <v/>
      </c>
      <c r="AL27" s="110" t="str">
        <f ca="1">RESULTADOS!P44</f>
        <v/>
      </c>
      <c r="AM27" s="110" t="str">
        <f ca="1">RESULTADOS!Q44</f>
        <v/>
      </c>
      <c r="AN27" s="110" t="str">
        <f ca="1">RESULTADOS!R44</f>
        <v/>
      </c>
      <c r="AO27" s="110" t="str">
        <f ca="1">RESULTADOS!S44</f>
        <v/>
      </c>
      <c r="AP27" s="110" t="str">
        <f ca="1">RESULTADOS!T44</f>
        <v/>
      </c>
      <c r="AQ27" s="110" t="str">
        <f ca="1">RESULTADOS!U44</f>
        <v/>
      </c>
      <c r="AR27" s="110" t="str">
        <f ca="1">RESULTADOS!V44</f>
        <v/>
      </c>
      <c r="AS27" s="110" t="str">
        <f ca="1">RESULTADOS!W44</f>
        <v/>
      </c>
      <c r="AT27" s="110" t="str">
        <f ca="1">RESULTADOS!X44</f>
        <v/>
      </c>
      <c r="AU27" s="110" t="str">
        <f ca="1">RESULTADOS!Y44</f>
        <v/>
      </c>
      <c r="AV27" s="110" t="str">
        <f ca="1">RESULTADOS!Z44</f>
        <v/>
      </c>
      <c r="AW27" s="110" t="str">
        <f ca="1">RESULTADOS!AA44</f>
        <v/>
      </c>
      <c r="AX27" s="110" t="str">
        <f ca="1">RESULTADOS!AB44</f>
        <v/>
      </c>
      <c r="AY27" s="110" t="str">
        <f ca="1">RESULTADOS!AC44</f>
        <v/>
      </c>
      <c r="AZ27" s="110" t="str">
        <f ca="1">RESULTADOS!AD44</f>
        <v/>
      </c>
      <c r="BA27" s="110" t="str">
        <f ca="1">RESULTADOS!AE44</f>
        <v/>
      </c>
      <c r="BB27" s="110" t="str">
        <f ca="1">RESULTADOS!AF44</f>
        <v/>
      </c>
      <c r="BC27" s="110" t="str">
        <f ca="1">RESULTADOS!AG44</f>
        <v/>
      </c>
      <c r="BD27" s="110" t="str">
        <f ca="1">RESULTADOS!AH44</f>
        <v/>
      </c>
      <c r="BE27" s="110" t="str">
        <f ca="1">RESULTADOS!AI44</f>
        <v/>
      </c>
      <c r="BF27" s="110" t="str">
        <f ca="1">RESULTADOS!AJ44</f>
        <v/>
      </c>
      <c r="BG27" s="110" t="str">
        <f ca="1">RESULTADOS!AK44</f>
        <v/>
      </c>
      <c r="BH27" s="110" t="str">
        <f ca="1">RESULTADOS!AL44</f>
        <v/>
      </c>
      <c r="BI27" s="110" t="str">
        <f ca="1">RESULTADOS!AM44</f>
        <v/>
      </c>
      <c r="BJ27" s="110" t="str">
        <f ca="1">RESULTADOS!AN44</f>
        <v/>
      </c>
      <c r="BK27" s="110" t="str">
        <f ca="1">RESULTADOS!AO44</f>
        <v/>
      </c>
      <c r="BL27" s="110" t="str">
        <f ca="1">RESULTADOS!AP44</f>
        <v/>
      </c>
      <c r="BM27" s="110" t="str">
        <f ca="1">RESULTADOS!AQ44</f>
        <v/>
      </c>
      <c r="BN27" s="110" t="str">
        <f ca="1">RESULTADOS!AR44</f>
        <v/>
      </c>
      <c r="BO27" s="110" t="str">
        <f ca="1">RESULTADOS!AS44</f>
        <v/>
      </c>
      <c r="BP27" s="110" t="str">
        <f ca="1">RESULTADOS!AT44</f>
        <v/>
      </c>
      <c r="BQ27" s="110" t="str">
        <f ca="1">RESULTADOS!AU44</f>
        <v/>
      </c>
      <c r="BR27" s="110" t="str">
        <f ca="1">RESULTADOS!AV44</f>
        <v/>
      </c>
      <c r="BS27" s="110" t="str">
        <f ca="1">RESULTADOS!AW44</f>
        <v/>
      </c>
      <c r="BT27" s="110" t="str">
        <f ca="1">RESULTADOS!AX44</f>
        <v/>
      </c>
      <c r="BU27" s="110" t="str">
        <f ca="1">RESULTADOS!AY44</f>
        <v/>
      </c>
      <c r="BV27" s="110" t="str">
        <f ca="1">RESULTADOS!AZ44</f>
        <v/>
      </c>
      <c r="BW27" s="110" t="str">
        <f ca="1">RESULTADOS!BA44</f>
        <v/>
      </c>
      <c r="BX27" s="110" t="str">
        <f ca="1">RESULTADOS!BB44</f>
        <v/>
      </c>
      <c r="BY27" s="110" t="str">
        <f ca="1">RESULTADOS!BC44</f>
        <v/>
      </c>
      <c r="BZ27" s="110" t="str">
        <f ca="1">RESULTADOS!BD44</f>
        <v/>
      </c>
      <c r="CA27" s="110" t="str">
        <f ca="1">RESULTADOS!BE44</f>
        <v/>
      </c>
      <c r="CB27" s="110" t="str">
        <f ca="1">RESULTADOS!BF44</f>
        <v/>
      </c>
      <c r="CC27" s="110" t="str">
        <f ca="1">RESULTADOS!BG44</f>
        <v/>
      </c>
      <c r="CD27" s="110" t="str">
        <f ca="1">RESULTADOS!BH44</f>
        <v/>
      </c>
      <c r="CE27" s="110" t="str">
        <f ca="1">RESULTADOS!BI44</f>
        <v/>
      </c>
      <c r="CF27" s="110" t="str">
        <f ca="1">RESULTADOS!BJ44</f>
        <v/>
      </c>
      <c r="CG27" s="110" t="str">
        <f ca="1">RESULTADOS!BK44</f>
        <v/>
      </c>
      <c r="CH27" s="110" t="str">
        <f ca="1">RESULTADOS!BL44</f>
        <v/>
      </c>
      <c r="CI27" s="110" t="str">
        <f ca="1">RESULTADOS!BM44</f>
        <v/>
      </c>
      <c r="CJ27" s="110" t="str">
        <f ca="1">RESULTADOS!BN44</f>
        <v/>
      </c>
      <c r="CK27" s="110" t="str">
        <f ca="1">RESULTADOS!BO44</f>
        <v/>
      </c>
      <c r="CL27" s="110" t="str">
        <f ca="1">RESULTADOS!BP44</f>
        <v/>
      </c>
      <c r="CM27" s="110" t="str">
        <f ca="1">RESULTADOS!BQ44</f>
        <v/>
      </c>
      <c r="CN27" s="110" t="str">
        <f ca="1">RESULTADOS!BR44</f>
        <v/>
      </c>
      <c r="CO27" s="110" t="str">
        <f ca="1">RESULTADOS!BS44</f>
        <v/>
      </c>
      <c r="CP27" s="110" t="str">
        <f ca="1">RESULTADOS!BT44</f>
        <v/>
      </c>
      <c r="CQ27" s="110" t="str">
        <f ca="1">RESULTADOS!BU44</f>
        <v/>
      </c>
      <c r="CR27" s="110" t="str">
        <f ca="1">RESULTADOS!BV44</f>
        <v/>
      </c>
      <c r="CS27" s="110" t="str">
        <f ca="1">RESULTADOS!BW44</f>
        <v/>
      </c>
      <c r="CT27" s="110" t="str">
        <f ca="1">RESULTADOS!BX44</f>
        <v/>
      </c>
      <c r="CU27" s="110" t="str">
        <f ca="1">RESULTADOS!BY44</f>
        <v/>
      </c>
      <c r="CV27" s="110" t="str">
        <f ca="1">RESULTADOS!BZ44</f>
        <v/>
      </c>
      <c r="CW27" s="110" t="str">
        <f ca="1">RESULTADOS!CA44</f>
        <v/>
      </c>
      <c r="CX27" s="110" t="str">
        <f ca="1">RESULTADOS!CB44</f>
        <v/>
      </c>
      <c r="CY27" s="110" t="str">
        <f ca="1">RESULTADOS!CC44</f>
        <v/>
      </c>
      <c r="CZ27" s="110" t="str">
        <f ca="1">RESULTADOS!CD44</f>
        <v/>
      </c>
      <c r="DA27" s="110" t="str">
        <f ca="1">RESULTADOS!CE44</f>
        <v/>
      </c>
      <c r="DB27" s="110" t="str">
        <f ca="1">RESULTADOS!CF44</f>
        <v/>
      </c>
      <c r="DC27" s="110" t="str">
        <f ca="1">RESULTADOS!CG44</f>
        <v/>
      </c>
      <c r="DD27" s="110" t="str">
        <f ca="1">RESULTADOS!CH44</f>
        <v/>
      </c>
      <c r="DE27" s="110" t="str">
        <f ca="1">RESULTADOS!CI44</f>
        <v/>
      </c>
      <c r="DF27" s="110" t="str">
        <f ca="1">RESULTADOS!CJ44</f>
        <v/>
      </c>
      <c r="DG27" s="110" t="str">
        <f ca="1">RESULTADOS!CK44</f>
        <v/>
      </c>
      <c r="DH27" s="110" t="str">
        <f ca="1">RESULTADOS!CL44</f>
        <v/>
      </c>
      <c r="DI27" s="110" t="str">
        <f ca="1">RESULTADOS!CM44</f>
        <v/>
      </c>
      <c r="DJ27" s="110" t="str">
        <f ca="1">RESULTADOS!CN44</f>
        <v/>
      </c>
      <c r="DK27" s="110" t="str">
        <f ca="1">RESULTADOS!CO44</f>
        <v/>
      </c>
      <c r="DL27" s="110" t="str">
        <f ca="1">RESULTADOS!CP44</f>
        <v/>
      </c>
      <c r="DM27" s="110" t="str">
        <f ca="1">RESULTADOS!CQ44</f>
        <v/>
      </c>
      <c r="DN27" s="110" t="str">
        <f ca="1">RESULTADOS!CR44</f>
        <v/>
      </c>
      <c r="DO27" s="112" t="str">
        <f>RESULTADOS!B85</f>
        <v/>
      </c>
      <c r="DP27" s="112" t="str">
        <f>RESULTADOS!C85</f>
        <v/>
      </c>
      <c r="DQ27" s="112" t="str">
        <f t="shared" si="1"/>
        <v/>
      </c>
      <c r="DR27" s="112" t="str" cm="1">
        <f t="array" ref="DR27">IFERROR(INDEX('03.Muestra'!$E$8:$E$42,SMALL(IF("Documento no web"='03.Muestra'!$D$8:$D$42,ROW('03.Muestra'!$E$8:$E$42)-MIN(ROW('03.Muestra'!$D$8:$D$42))+1,""),ROW()-2)),"")</f>
        <v/>
      </c>
      <c r="DS27" s="112" t="str">
        <f>RESULTADOS!D85</f>
        <v/>
      </c>
      <c r="DT27" s="112" t="str" cm="1">
        <f t="array" ref="DT27">IFERROR(INDEX('03.Muestra'!$G$8:$G$42,SMALL(IF("Documento no web"='03.Muestra'!$D$8:$D$42,ROW('03.Muestra'!$G$8:$G$42)-MIN(ROW('03.Muestra'!$D$8:$D$42))+1,""),ROW()-2)),"")</f>
        <v/>
      </c>
      <c r="DU27" s="187" t="str" cm="1">
        <f t="array" ref="DU27">IFERROR(INDEX('03.Muestra'!$H$8:$H$42,SMALL(IF("Documento no web"='03.Muestra'!$D$8:$D$42,ROW('03.Muestra'!$H$8:$H$42)-MIN(ROW('03.Muestra'!$D$8:$D$42))+1,""),ROW()-2)),"")</f>
        <v/>
      </c>
      <c r="DV27" s="110" t="str">
        <f ca="1">RESULTADOS!E85</f>
        <v/>
      </c>
      <c r="DW27" s="110" t="str">
        <f ca="1">RESULTADOS!F85</f>
        <v/>
      </c>
      <c r="DX27" s="110" t="str">
        <f ca="1">RESULTADOS!G85</f>
        <v/>
      </c>
      <c r="DY27" s="110" t="str">
        <f ca="1">RESULTADOS!H85</f>
        <v/>
      </c>
      <c r="DZ27" s="110" t="str">
        <f ca="1">RESULTADOS!I85</f>
        <v/>
      </c>
      <c r="EA27" s="110" t="str">
        <f ca="1">RESULTADOS!J85</f>
        <v/>
      </c>
      <c r="EB27" s="110" t="str">
        <f ca="1">RESULTADOS!K85</f>
        <v/>
      </c>
      <c r="EC27" s="110" t="str">
        <f ca="1">RESULTADOS!L85</f>
        <v/>
      </c>
      <c r="ED27" s="110" t="str">
        <f ca="1">RESULTADOS!M85</f>
        <v/>
      </c>
      <c r="EE27" s="110" t="str">
        <f ca="1">RESULTADOS!N85</f>
        <v/>
      </c>
      <c r="EF27" s="110" t="str">
        <f ca="1">RESULTADOS!O85</f>
        <v/>
      </c>
      <c r="EG27" s="110" t="str">
        <f ca="1">RESULTADOS!P85</f>
        <v/>
      </c>
      <c r="EH27" s="110" t="str">
        <f ca="1">RESULTADOS!Q85</f>
        <v/>
      </c>
      <c r="EI27" s="110" t="str">
        <f ca="1">RESULTADOS!R85</f>
        <v/>
      </c>
      <c r="EJ27" s="110" t="str">
        <f ca="1">RESULTADOS!S85</f>
        <v/>
      </c>
      <c r="EK27" s="110" t="str">
        <f ca="1">RESULTADOS!T85</f>
        <v/>
      </c>
      <c r="EL27" s="110" t="str">
        <f ca="1">RESULTADOS!U85</f>
        <v/>
      </c>
      <c r="EM27" s="110" t="str">
        <f ca="1">RESULTADOS!V85</f>
        <v/>
      </c>
      <c r="EN27" s="110" t="str">
        <f ca="1">RESULTADOS!W85</f>
        <v/>
      </c>
      <c r="EO27" s="110" t="str">
        <f ca="1">RESULTADOS!X85</f>
        <v/>
      </c>
      <c r="EP27" s="110" t="str">
        <f ca="1">RESULTADOS!Y85</f>
        <v/>
      </c>
      <c r="EQ27" s="110" t="str">
        <f ca="1">RESULTADOS!Z85</f>
        <v/>
      </c>
      <c r="ER27" s="110" t="str">
        <f ca="1">RESULTADOS!AA85</f>
        <v/>
      </c>
      <c r="ES27" s="110" t="str">
        <f ca="1">RESULTADOS!AB85</f>
        <v/>
      </c>
      <c r="ET27" s="110" t="str">
        <f ca="1">RESULTADOS!AC85</f>
        <v/>
      </c>
      <c r="EU27" s="110" t="str">
        <f ca="1">RESULTADOS!AD85</f>
        <v/>
      </c>
      <c r="EV27" s="110" t="str">
        <f ca="1">RESULTADOS!AE85</f>
        <v/>
      </c>
      <c r="EW27" s="110" t="str">
        <f ca="1">RESULTADOS!AF85</f>
        <v/>
      </c>
      <c r="EX27" s="110" t="str">
        <f ca="1">RESULTADOS!AG85</f>
        <v/>
      </c>
      <c r="EY27" s="110" t="str">
        <f ca="1">RESULTADOS!AH85</f>
        <v/>
      </c>
      <c r="EZ27" s="110" t="str">
        <f ca="1">RESULTADOS!AI85</f>
        <v/>
      </c>
      <c r="FA27" s="110" t="str">
        <f ca="1">RESULTADOS!AJ85</f>
        <v/>
      </c>
      <c r="FB27" s="110" t="str">
        <f ca="1">RESULTADOS!AK85</f>
        <v/>
      </c>
      <c r="FC27" s="110" t="str">
        <f ca="1">RESULTADOS!AL85</f>
        <v/>
      </c>
      <c r="FD27" s="110" t="str">
        <f ca="1">RESULTADOS!AM85</f>
        <v/>
      </c>
      <c r="FE27" s="110" t="str">
        <f ca="1">RESULTADOS!AN85</f>
        <v/>
      </c>
      <c r="FF27" s="110" t="str">
        <f ca="1">RESULTADOS!AO85</f>
        <v/>
      </c>
      <c r="FG27" s="110" t="str">
        <f ca="1">RESULTADOS!AP85</f>
        <v/>
      </c>
      <c r="FH27" s="110" t="str">
        <f ca="1">RESULTADOS!AQ85</f>
        <v/>
      </c>
      <c r="FI27" s="110" t="str">
        <f ca="1">RESULTADOS!AR85</f>
        <v/>
      </c>
      <c r="FJ27" s="110" t="str">
        <f ca="1">RESULTADOS!AS85</f>
        <v/>
      </c>
      <c r="FK27" s="110" t="str">
        <f ca="1">RESULTADOS!AT85</f>
        <v/>
      </c>
      <c r="FL27" s="110" t="str">
        <f ca="1">RESULTADOS!AU85</f>
        <v/>
      </c>
      <c r="FM27" s="110" t="str">
        <f ca="1">RESULTADOS!AV85</f>
        <v/>
      </c>
      <c r="FN27" s="110" t="str">
        <f ca="1">RESULTADOS!AW85</f>
        <v/>
      </c>
    </row>
    <row r="28" spans="3:170" ht="13">
      <c r="C28" s="108"/>
      <c r="K28" t="s">
        <v>477</v>
      </c>
      <c r="L28" s="113" t="str">
        <f ca="1">RESULTADOS!D14</f>
        <v>Parcialmente Conforme</v>
      </c>
      <c r="M28" s="113"/>
      <c r="T28" s="112" t="str">
        <f>RESULTADOS!B45</f>
        <v/>
      </c>
      <c r="U28" s="112" t="str">
        <f>RESULTADOS!C45</f>
        <v/>
      </c>
      <c r="V28" s="112" t="str">
        <f t="shared" si="0"/>
        <v/>
      </c>
      <c r="W28" s="112" t="str">
        <v/>
      </c>
      <c r="X28" s="112" t="str">
        <f>RESULTADOS!D45</f>
        <v/>
      </c>
      <c r="Y28" s="112" t="str">
        <v/>
      </c>
      <c r="Z28" s="187" t="str">
        <v/>
      </c>
      <c r="AA28" s="110" t="str">
        <f ca="1">RESULTADOS!E45</f>
        <v/>
      </c>
      <c r="AB28" s="110" t="str">
        <f ca="1">RESULTADOS!F45</f>
        <v/>
      </c>
      <c r="AC28" s="110" t="str">
        <f ca="1">RESULTADOS!G45</f>
        <v/>
      </c>
      <c r="AD28" s="110" t="str">
        <f ca="1">RESULTADOS!H45</f>
        <v/>
      </c>
      <c r="AE28" s="110" t="str">
        <f ca="1">RESULTADOS!I45</f>
        <v/>
      </c>
      <c r="AF28" s="110" t="str">
        <f ca="1">RESULTADOS!J45</f>
        <v/>
      </c>
      <c r="AG28" s="110" t="str">
        <f ca="1">RESULTADOS!K45</f>
        <v/>
      </c>
      <c r="AH28" s="110" t="str">
        <f ca="1">RESULTADOS!L45</f>
        <v/>
      </c>
      <c r="AI28" s="110" t="str">
        <f ca="1">RESULTADOS!M45</f>
        <v/>
      </c>
      <c r="AJ28" s="110" t="str">
        <f ca="1">RESULTADOS!N45</f>
        <v/>
      </c>
      <c r="AK28" s="110" t="str">
        <f ca="1">RESULTADOS!O45</f>
        <v/>
      </c>
      <c r="AL28" s="110" t="str">
        <f ca="1">RESULTADOS!P45</f>
        <v/>
      </c>
      <c r="AM28" s="110" t="str">
        <f ca="1">RESULTADOS!Q45</f>
        <v/>
      </c>
      <c r="AN28" s="110" t="str">
        <f ca="1">RESULTADOS!R45</f>
        <v/>
      </c>
      <c r="AO28" s="110" t="str">
        <f ca="1">RESULTADOS!S45</f>
        <v/>
      </c>
      <c r="AP28" s="110" t="str">
        <f ca="1">RESULTADOS!T45</f>
        <v/>
      </c>
      <c r="AQ28" s="110" t="str">
        <f ca="1">RESULTADOS!U45</f>
        <v/>
      </c>
      <c r="AR28" s="110" t="str">
        <f ca="1">RESULTADOS!V45</f>
        <v/>
      </c>
      <c r="AS28" s="110" t="str">
        <f ca="1">RESULTADOS!W45</f>
        <v/>
      </c>
      <c r="AT28" s="110" t="str">
        <f ca="1">RESULTADOS!X45</f>
        <v/>
      </c>
      <c r="AU28" s="110" t="str">
        <f ca="1">RESULTADOS!Y45</f>
        <v/>
      </c>
      <c r="AV28" s="110" t="str">
        <f ca="1">RESULTADOS!Z45</f>
        <v/>
      </c>
      <c r="AW28" s="110" t="str">
        <f ca="1">RESULTADOS!AA45</f>
        <v/>
      </c>
      <c r="AX28" s="110" t="str">
        <f ca="1">RESULTADOS!AB45</f>
        <v/>
      </c>
      <c r="AY28" s="110" t="str">
        <f ca="1">RESULTADOS!AC45</f>
        <v/>
      </c>
      <c r="AZ28" s="110" t="str">
        <f ca="1">RESULTADOS!AD45</f>
        <v/>
      </c>
      <c r="BA28" s="110" t="str">
        <f ca="1">RESULTADOS!AE45</f>
        <v/>
      </c>
      <c r="BB28" s="110" t="str">
        <f ca="1">RESULTADOS!AF45</f>
        <v/>
      </c>
      <c r="BC28" s="110" t="str">
        <f ca="1">RESULTADOS!AG45</f>
        <v/>
      </c>
      <c r="BD28" s="110" t="str">
        <f ca="1">RESULTADOS!AH45</f>
        <v/>
      </c>
      <c r="BE28" s="110" t="str">
        <f ca="1">RESULTADOS!AI45</f>
        <v/>
      </c>
      <c r="BF28" s="110" t="str">
        <f ca="1">RESULTADOS!AJ45</f>
        <v/>
      </c>
      <c r="BG28" s="110" t="str">
        <f ca="1">RESULTADOS!AK45</f>
        <v/>
      </c>
      <c r="BH28" s="110" t="str">
        <f ca="1">RESULTADOS!AL45</f>
        <v/>
      </c>
      <c r="BI28" s="110" t="str">
        <f ca="1">RESULTADOS!AM45</f>
        <v/>
      </c>
      <c r="BJ28" s="110" t="str">
        <f ca="1">RESULTADOS!AN45</f>
        <v/>
      </c>
      <c r="BK28" s="110" t="str">
        <f ca="1">RESULTADOS!AO45</f>
        <v/>
      </c>
      <c r="BL28" s="110" t="str">
        <f ca="1">RESULTADOS!AP45</f>
        <v/>
      </c>
      <c r="BM28" s="110" t="str">
        <f ca="1">RESULTADOS!AQ45</f>
        <v/>
      </c>
      <c r="BN28" s="110" t="str">
        <f ca="1">RESULTADOS!AR45</f>
        <v/>
      </c>
      <c r="BO28" s="110" t="str">
        <f ca="1">RESULTADOS!AS45</f>
        <v/>
      </c>
      <c r="BP28" s="110" t="str">
        <f ca="1">RESULTADOS!AT45</f>
        <v/>
      </c>
      <c r="BQ28" s="110" t="str">
        <f ca="1">RESULTADOS!AU45</f>
        <v/>
      </c>
      <c r="BR28" s="110" t="str">
        <f ca="1">RESULTADOS!AV45</f>
        <v/>
      </c>
      <c r="BS28" s="110" t="str">
        <f ca="1">RESULTADOS!AW45</f>
        <v/>
      </c>
      <c r="BT28" s="110" t="str">
        <f ca="1">RESULTADOS!AX45</f>
        <v/>
      </c>
      <c r="BU28" s="110" t="str">
        <f ca="1">RESULTADOS!AY45</f>
        <v/>
      </c>
      <c r="BV28" s="110" t="str">
        <f ca="1">RESULTADOS!AZ45</f>
        <v/>
      </c>
      <c r="BW28" s="110" t="str">
        <f ca="1">RESULTADOS!BA45</f>
        <v/>
      </c>
      <c r="BX28" s="110" t="str">
        <f ca="1">RESULTADOS!BB45</f>
        <v/>
      </c>
      <c r="BY28" s="110" t="str">
        <f ca="1">RESULTADOS!BC45</f>
        <v/>
      </c>
      <c r="BZ28" s="110" t="str">
        <f ca="1">RESULTADOS!BD45</f>
        <v/>
      </c>
      <c r="CA28" s="110" t="str">
        <f ca="1">RESULTADOS!BE45</f>
        <v/>
      </c>
      <c r="CB28" s="110" t="str">
        <f ca="1">RESULTADOS!BF45</f>
        <v/>
      </c>
      <c r="CC28" s="110" t="str">
        <f ca="1">RESULTADOS!BG45</f>
        <v/>
      </c>
      <c r="CD28" s="110" t="str">
        <f ca="1">RESULTADOS!BH45</f>
        <v/>
      </c>
      <c r="CE28" s="110" t="str">
        <f ca="1">RESULTADOS!BI45</f>
        <v/>
      </c>
      <c r="CF28" s="110" t="str">
        <f ca="1">RESULTADOS!BJ45</f>
        <v/>
      </c>
      <c r="CG28" s="110" t="str">
        <f ca="1">RESULTADOS!BK45</f>
        <v/>
      </c>
      <c r="CH28" s="110" t="str">
        <f ca="1">RESULTADOS!BL45</f>
        <v/>
      </c>
      <c r="CI28" s="110" t="str">
        <f ca="1">RESULTADOS!BM45</f>
        <v/>
      </c>
      <c r="CJ28" s="110" t="str">
        <f ca="1">RESULTADOS!BN45</f>
        <v/>
      </c>
      <c r="CK28" s="110" t="str">
        <f ca="1">RESULTADOS!BO45</f>
        <v/>
      </c>
      <c r="CL28" s="110" t="str">
        <f ca="1">RESULTADOS!BP45</f>
        <v/>
      </c>
      <c r="CM28" s="110" t="str">
        <f ca="1">RESULTADOS!BQ45</f>
        <v/>
      </c>
      <c r="CN28" s="110" t="str">
        <f ca="1">RESULTADOS!BR45</f>
        <v/>
      </c>
      <c r="CO28" s="110" t="str">
        <f ca="1">RESULTADOS!BS45</f>
        <v/>
      </c>
      <c r="CP28" s="110" t="str">
        <f ca="1">RESULTADOS!BT45</f>
        <v/>
      </c>
      <c r="CQ28" s="110" t="str">
        <f ca="1">RESULTADOS!BU45</f>
        <v/>
      </c>
      <c r="CR28" s="110" t="str">
        <f ca="1">RESULTADOS!BV45</f>
        <v/>
      </c>
      <c r="CS28" s="110" t="str">
        <f ca="1">RESULTADOS!BW45</f>
        <v/>
      </c>
      <c r="CT28" s="110" t="str">
        <f ca="1">RESULTADOS!BX45</f>
        <v/>
      </c>
      <c r="CU28" s="110" t="str">
        <f ca="1">RESULTADOS!BY45</f>
        <v/>
      </c>
      <c r="CV28" s="110" t="str">
        <f ca="1">RESULTADOS!BZ45</f>
        <v/>
      </c>
      <c r="CW28" s="110" t="str">
        <f ca="1">RESULTADOS!CA45</f>
        <v/>
      </c>
      <c r="CX28" s="110" t="str">
        <f ca="1">RESULTADOS!CB45</f>
        <v/>
      </c>
      <c r="CY28" s="110" t="str">
        <f ca="1">RESULTADOS!CC45</f>
        <v/>
      </c>
      <c r="CZ28" s="110" t="str">
        <f ca="1">RESULTADOS!CD45</f>
        <v/>
      </c>
      <c r="DA28" s="110" t="str">
        <f ca="1">RESULTADOS!CE45</f>
        <v/>
      </c>
      <c r="DB28" s="110" t="str">
        <f ca="1">RESULTADOS!CF45</f>
        <v/>
      </c>
      <c r="DC28" s="110" t="str">
        <f ca="1">RESULTADOS!CG45</f>
        <v/>
      </c>
      <c r="DD28" s="110" t="str">
        <f ca="1">RESULTADOS!CH45</f>
        <v/>
      </c>
      <c r="DE28" s="110" t="str">
        <f ca="1">RESULTADOS!CI45</f>
        <v/>
      </c>
      <c r="DF28" s="110" t="str">
        <f ca="1">RESULTADOS!CJ45</f>
        <v/>
      </c>
      <c r="DG28" s="110" t="str">
        <f ca="1">RESULTADOS!CK45</f>
        <v/>
      </c>
      <c r="DH28" s="110" t="str">
        <f ca="1">RESULTADOS!CL45</f>
        <v/>
      </c>
      <c r="DI28" s="110" t="str">
        <f ca="1">RESULTADOS!CM45</f>
        <v/>
      </c>
      <c r="DJ28" s="110" t="str">
        <f ca="1">RESULTADOS!CN45</f>
        <v/>
      </c>
      <c r="DK28" s="110" t="str">
        <f ca="1">RESULTADOS!CO45</f>
        <v/>
      </c>
      <c r="DL28" s="110" t="str">
        <f ca="1">RESULTADOS!CP45</f>
        <v/>
      </c>
      <c r="DM28" s="110" t="str">
        <f ca="1">RESULTADOS!CQ45</f>
        <v/>
      </c>
      <c r="DN28" s="110" t="str">
        <f ca="1">RESULTADOS!CR45</f>
        <v/>
      </c>
      <c r="DO28" s="112" t="str">
        <f>RESULTADOS!B86</f>
        <v/>
      </c>
      <c r="DP28" s="112" t="str">
        <f>RESULTADOS!C86</f>
        <v/>
      </c>
      <c r="DQ28" s="112" t="str">
        <f t="shared" si="1"/>
        <v/>
      </c>
      <c r="DR28" s="112" t="str" cm="1">
        <f t="array" ref="DR28">IFERROR(INDEX('03.Muestra'!$E$8:$E$42,SMALL(IF("Documento no web"='03.Muestra'!$D$8:$D$42,ROW('03.Muestra'!$E$8:$E$42)-MIN(ROW('03.Muestra'!$D$8:$D$42))+1,""),ROW()-2)),"")</f>
        <v/>
      </c>
      <c r="DS28" s="112" t="str">
        <f>RESULTADOS!D86</f>
        <v/>
      </c>
      <c r="DT28" s="112" t="str" cm="1">
        <f t="array" ref="DT28">IFERROR(INDEX('03.Muestra'!$G$8:$G$42,SMALL(IF("Documento no web"='03.Muestra'!$D$8:$D$42,ROW('03.Muestra'!$G$8:$G$42)-MIN(ROW('03.Muestra'!$D$8:$D$42))+1,""),ROW()-2)),"")</f>
        <v/>
      </c>
      <c r="DU28" s="187" t="str" cm="1">
        <f t="array" ref="DU28">IFERROR(INDEX('03.Muestra'!$H$8:$H$42,SMALL(IF("Documento no web"='03.Muestra'!$D$8:$D$42,ROW('03.Muestra'!$H$8:$H$42)-MIN(ROW('03.Muestra'!$D$8:$D$42))+1,""),ROW()-2)),"")</f>
        <v/>
      </c>
      <c r="DV28" s="110" t="str">
        <f ca="1">RESULTADOS!E86</f>
        <v/>
      </c>
      <c r="DW28" s="110" t="str">
        <f ca="1">RESULTADOS!F86</f>
        <v/>
      </c>
      <c r="DX28" s="110" t="str">
        <f ca="1">RESULTADOS!G86</f>
        <v/>
      </c>
      <c r="DY28" s="110" t="str">
        <f ca="1">RESULTADOS!H86</f>
        <v/>
      </c>
      <c r="DZ28" s="110" t="str">
        <f ca="1">RESULTADOS!I86</f>
        <v/>
      </c>
      <c r="EA28" s="110" t="str">
        <f ca="1">RESULTADOS!J86</f>
        <v/>
      </c>
      <c r="EB28" s="110" t="str">
        <f ca="1">RESULTADOS!K86</f>
        <v/>
      </c>
      <c r="EC28" s="110" t="str">
        <f ca="1">RESULTADOS!L86</f>
        <v/>
      </c>
      <c r="ED28" s="110" t="str">
        <f ca="1">RESULTADOS!M86</f>
        <v/>
      </c>
      <c r="EE28" s="110" t="str">
        <f ca="1">RESULTADOS!N86</f>
        <v/>
      </c>
      <c r="EF28" s="110" t="str">
        <f ca="1">RESULTADOS!O86</f>
        <v/>
      </c>
      <c r="EG28" s="110" t="str">
        <f ca="1">RESULTADOS!P86</f>
        <v/>
      </c>
      <c r="EH28" s="110" t="str">
        <f ca="1">RESULTADOS!Q86</f>
        <v/>
      </c>
      <c r="EI28" s="110" t="str">
        <f ca="1">RESULTADOS!R86</f>
        <v/>
      </c>
      <c r="EJ28" s="110" t="str">
        <f ca="1">RESULTADOS!S86</f>
        <v/>
      </c>
      <c r="EK28" s="110" t="str">
        <f ca="1">RESULTADOS!T86</f>
        <v/>
      </c>
      <c r="EL28" s="110" t="str">
        <f ca="1">RESULTADOS!U86</f>
        <v/>
      </c>
      <c r="EM28" s="110" t="str">
        <f ca="1">RESULTADOS!V86</f>
        <v/>
      </c>
      <c r="EN28" s="110" t="str">
        <f ca="1">RESULTADOS!W86</f>
        <v/>
      </c>
      <c r="EO28" s="110" t="str">
        <f ca="1">RESULTADOS!X86</f>
        <v/>
      </c>
      <c r="EP28" s="110" t="str">
        <f ca="1">RESULTADOS!Y86</f>
        <v/>
      </c>
      <c r="EQ28" s="110" t="str">
        <f ca="1">RESULTADOS!Z86</f>
        <v/>
      </c>
      <c r="ER28" s="110" t="str">
        <f ca="1">RESULTADOS!AA86</f>
        <v/>
      </c>
      <c r="ES28" s="110" t="str">
        <f ca="1">RESULTADOS!AB86</f>
        <v/>
      </c>
      <c r="ET28" s="110" t="str">
        <f ca="1">RESULTADOS!AC86</f>
        <v/>
      </c>
      <c r="EU28" s="110" t="str">
        <f ca="1">RESULTADOS!AD86</f>
        <v/>
      </c>
      <c r="EV28" s="110" t="str">
        <f ca="1">RESULTADOS!AE86</f>
        <v/>
      </c>
      <c r="EW28" s="110" t="str">
        <f ca="1">RESULTADOS!AF86</f>
        <v/>
      </c>
      <c r="EX28" s="110" t="str">
        <f ca="1">RESULTADOS!AG86</f>
        <v/>
      </c>
      <c r="EY28" s="110" t="str">
        <f ca="1">RESULTADOS!AH86</f>
        <v/>
      </c>
      <c r="EZ28" s="110" t="str">
        <f ca="1">RESULTADOS!AI86</f>
        <v/>
      </c>
      <c r="FA28" s="110" t="str">
        <f ca="1">RESULTADOS!AJ86</f>
        <v/>
      </c>
      <c r="FB28" s="110" t="str">
        <f ca="1">RESULTADOS!AK86</f>
        <v/>
      </c>
      <c r="FC28" s="110" t="str">
        <f ca="1">RESULTADOS!AL86</f>
        <v/>
      </c>
      <c r="FD28" s="110" t="str">
        <f ca="1">RESULTADOS!AM86</f>
        <v/>
      </c>
      <c r="FE28" s="110" t="str">
        <f ca="1">RESULTADOS!AN86</f>
        <v/>
      </c>
      <c r="FF28" s="110" t="str">
        <f ca="1">RESULTADOS!AO86</f>
        <v/>
      </c>
      <c r="FG28" s="110" t="str">
        <f ca="1">RESULTADOS!AP86</f>
        <v/>
      </c>
      <c r="FH28" s="110" t="str">
        <f ca="1">RESULTADOS!AQ86</f>
        <v/>
      </c>
      <c r="FI28" s="110" t="str">
        <f ca="1">RESULTADOS!AR86</f>
        <v/>
      </c>
      <c r="FJ28" s="110" t="str">
        <f ca="1">RESULTADOS!AS86</f>
        <v/>
      </c>
      <c r="FK28" s="110" t="str">
        <f ca="1">RESULTADOS!AT86</f>
        <v/>
      </c>
      <c r="FL28" s="110" t="str">
        <f ca="1">RESULTADOS!AU86</f>
        <v/>
      </c>
      <c r="FM28" s="110" t="str">
        <f ca="1">RESULTADOS!AV86</f>
        <v/>
      </c>
      <c r="FN28" s="110" t="str">
        <f ca="1">RESULTADOS!AW86</f>
        <v/>
      </c>
    </row>
    <row r="29" spans="3:170" ht="13">
      <c r="C29" s="108" t="s">
        <v>45</v>
      </c>
      <c r="D29" s="111" t="str">
        <f>'01.Definición de ámbito'!C58</f>
        <v>Autoevaluación con recursos externos</v>
      </c>
      <c r="K29" t="s">
        <v>478</v>
      </c>
      <c r="L29" s="114">
        <f ca="1">RESULTADOS!F14</f>
        <v>6.18</v>
      </c>
      <c r="T29" s="112" t="str">
        <f>RESULTADOS!B46</f>
        <v/>
      </c>
      <c r="U29" s="112" t="str">
        <f>RESULTADOS!C46</f>
        <v/>
      </c>
      <c r="V29" s="112" t="str">
        <f t="shared" si="0"/>
        <v/>
      </c>
      <c r="W29" s="112" t="str">
        <v/>
      </c>
      <c r="X29" s="112" t="str">
        <f>RESULTADOS!D46</f>
        <v/>
      </c>
      <c r="Y29" s="112" t="str">
        <v/>
      </c>
      <c r="Z29" s="187" t="str">
        <v/>
      </c>
      <c r="AA29" s="110" t="str">
        <f ca="1">RESULTADOS!E46</f>
        <v/>
      </c>
      <c r="AB29" s="110" t="str">
        <f ca="1">RESULTADOS!F46</f>
        <v/>
      </c>
      <c r="AC29" s="110" t="str">
        <f ca="1">RESULTADOS!G46</f>
        <v/>
      </c>
      <c r="AD29" s="110" t="str">
        <f ca="1">RESULTADOS!H46</f>
        <v/>
      </c>
      <c r="AE29" s="110" t="str">
        <f ca="1">RESULTADOS!I46</f>
        <v/>
      </c>
      <c r="AF29" s="110" t="str">
        <f ca="1">RESULTADOS!J46</f>
        <v/>
      </c>
      <c r="AG29" s="110" t="str">
        <f ca="1">RESULTADOS!K46</f>
        <v/>
      </c>
      <c r="AH29" s="110" t="str">
        <f ca="1">RESULTADOS!L46</f>
        <v/>
      </c>
      <c r="AI29" s="110" t="str">
        <f ca="1">RESULTADOS!M46</f>
        <v/>
      </c>
      <c r="AJ29" s="110" t="str">
        <f ca="1">RESULTADOS!N46</f>
        <v/>
      </c>
      <c r="AK29" s="110" t="str">
        <f ca="1">RESULTADOS!O46</f>
        <v/>
      </c>
      <c r="AL29" s="110" t="str">
        <f ca="1">RESULTADOS!P46</f>
        <v/>
      </c>
      <c r="AM29" s="110" t="str">
        <f ca="1">RESULTADOS!Q46</f>
        <v/>
      </c>
      <c r="AN29" s="110" t="str">
        <f ca="1">RESULTADOS!R46</f>
        <v/>
      </c>
      <c r="AO29" s="110" t="str">
        <f ca="1">RESULTADOS!S46</f>
        <v/>
      </c>
      <c r="AP29" s="110" t="str">
        <f ca="1">RESULTADOS!T46</f>
        <v/>
      </c>
      <c r="AQ29" s="110" t="str">
        <f ca="1">RESULTADOS!U46</f>
        <v/>
      </c>
      <c r="AR29" s="110" t="str">
        <f ca="1">RESULTADOS!V46</f>
        <v/>
      </c>
      <c r="AS29" s="110" t="str">
        <f ca="1">RESULTADOS!W46</f>
        <v/>
      </c>
      <c r="AT29" s="110" t="str">
        <f ca="1">RESULTADOS!X46</f>
        <v/>
      </c>
      <c r="AU29" s="110" t="str">
        <f ca="1">RESULTADOS!Y46</f>
        <v/>
      </c>
      <c r="AV29" s="110" t="str">
        <f ca="1">RESULTADOS!Z46</f>
        <v/>
      </c>
      <c r="AW29" s="110" t="str">
        <f ca="1">RESULTADOS!AA46</f>
        <v/>
      </c>
      <c r="AX29" s="110" t="str">
        <f ca="1">RESULTADOS!AB46</f>
        <v/>
      </c>
      <c r="AY29" s="110" t="str">
        <f ca="1">RESULTADOS!AC46</f>
        <v/>
      </c>
      <c r="AZ29" s="110" t="str">
        <f ca="1">RESULTADOS!AD46</f>
        <v/>
      </c>
      <c r="BA29" s="110" t="str">
        <f ca="1">RESULTADOS!AE46</f>
        <v/>
      </c>
      <c r="BB29" s="110" t="str">
        <f ca="1">RESULTADOS!AF46</f>
        <v/>
      </c>
      <c r="BC29" s="110" t="str">
        <f ca="1">RESULTADOS!AG46</f>
        <v/>
      </c>
      <c r="BD29" s="110" t="str">
        <f ca="1">RESULTADOS!AH46</f>
        <v/>
      </c>
      <c r="BE29" s="110" t="str">
        <f ca="1">RESULTADOS!AI46</f>
        <v/>
      </c>
      <c r="BF29" s="110" t="str">
        <f ca="1">RESULTADOS!AJ46</f>
        <v/>
      </c>
      <c r="BG29" s="110" t="str">
        <f ca="1">RESULTADOS!AK46</f>
        <v/>
      </c>
      <c r="BH29" s="110" t="str">
        <f ca="1">RESULTADOS!AL46</f>
        <v/>
      </c>
      <c r="BI29" s="110" t="str">
        <f ca="1">RESULTADOS!AM46</f>
        <v/>
      </c>
      <c r="BJ29" s="110" t="str">
        <f ca="1">RESULTADOS!AN46</f>
        <v/>
      </c>
      <c r="BK29" s="110" t="str">
        <f ca="1">RESULTADOS!AO46</f>
        <v/>
      </c>
      <c r="BL29" s="110" t="str">
        <f ca="1">RESULTADOS!AP46</f>
        <v/>
      </c>
      <c r="BM29" s="110" t="str">
        <f ca="1">RESULTADOS!AQ46</f>
        <v/>
      </c>
      <c r="BN29" s="110" t="str">
        <f ca="1">RESULTADOS!AR46</f>
        <v/>
      </c>
      <c r="BO29" s="110" t="str">
        <f ca="1">RESULTADOS!AS46</f>
        <v/>
      </c>
      <c r="BP29" s="110" t="str">
        <f ca="1">RESULTADOS!AT46</f>
        <v/>
      </c>
      <c r="BQ29" s="110" t="str">
        <f ca="1">RESULTADOS!AU46</f>
        <v/>
      </c>
      <c r="BR29" s="110" t="str">
        <f ca="1">RESULTADOS!AV46</f>
        <v/>
      </c>
      <c r="BS29" s="110" t="str">
        <f ca="1">RESULTADOS!AW46</f>
        <v/>
      </c>
      <c r="BT29" s="110" t="str">
        <f ca="1">RESULTADOS!AX46</f>
        <v/>
      </c>
      <c r="BU29" s="110" t="str">
        <f ca="1">RESULTADOS!AY46</f>
        <v/>
      </c>
      <c r="BV29" s="110" t="str">
        <f ca="1">RESULTADOS!AZ46</f>
        <v/>
      </c>
      <c r="BW29" s="110" t="str">
        <f ca="1">RESULTADOS!BA46</f>
        <v/>
      </c>
      <c r="BX29" s="110" t="str">
        <f ca="1">RESULTADOS!BB46</f>
        <v/>
      </c>
      <c r="BY29" s="110" t="str">
        <f ca="1">RESULTADOS!BC46</f>
        <v/>
      </c>
      <c r="BZ29" s="110" t="str">
        <f ca="1">RESULTADOS!BD46</f>
        <v/>
      </c>
      <c r="CA29" s="110" t="str">
        <f ca="1">RESULTADOS!BE46</f>
        <v/>
      </c>
      <c r="CB29" s="110" t="str">
        <f ca="1">RESULTADOS!BF46</f>
        <v/>
      </c>
      <c r="CC29" s="110" t="str">
        <f ca="1">RESULTADOS!BG46</f>
        <v/>
      </c>
      <c r="CD29" s="110" t="str">
        <f ca="1">RESULTADOS!BH46</f>
        <v/>
      </c>
      <c r="CE29" s="110" t="str">
        <f ca="1">RESULTADOS!BI46</f>
        <v/>
      </c>
      <c r="CF29" s="110" t="str">
        <f ca="1">RESULTADOS!BJ46</f>
        <v/>
      </c>
      <c r="CG29" s="110" t="str">
        <f ca="1">RESULTADOS!BK46</f>
        <v/>
      </c>
      <c r="CH29" s="110" t="str">
        <f ca="1">RESULTADOS!BL46</f>
        <v/>
      </c>
      <c r="CI29" s="110" t="str">
        <f ca="1">RESULTADOS!BM46</f>
        <v/>
      </c>
      <c r="CJ29" s="110" t="str">
        <f ca="1">RESULTADOS!BN46</f>
        <v/>
      </c>
      <c r="CK29" s="110" t="str">
        <f ca="1">RESULTADOS!BO46</f>
        <v/>
      </c>
      <c r="CL29" s="110" t="str">
        <f ca="1">RESULTADOS!BP46</f>
        <v/>
      </c>
      <c r="CM29" s="110" t="str">
        <f ca="1">RESULTADOS!BQ46</f>
        <v/>
      </c>
      <c r="CN29" s="110" t="str">
        <f ca="1">RESULTADOS!BR46</f>
        <v/>
      </c>
      <c r="CO29" s="110" t="str">
        <f ca="1">RESULTADOS!BS46</f>
        <v/>
      </c>
      <c r="CP29" s="110" t="str">
        <f ca="1">RESULTADOS!BT46</f>
        <v/>
      </c>
      <c r="CQ29" s="110" t="str">
        <f ca="1">RESULTADOS!BU46</f>
        <v/>
      </c>
      <c r="CR29" s="110" t="str">
        <f ca="1">RESULTADOS!BV46</f>
        <v/>
      </c>
      <c r="CS29" s="110" t="str">
        <f ca="1">RESULTADOS!BW46</f>
        <v/>
      </c>
      <c r="CT29" s="110" t="str">
        <f ca="1">RESULTADOS!BX46</f>
        <v/>
      </c>
      <c r="CU29" s="110" t="str">
        <f ca="1">RESULTADOS!BY46</f>
        <v/>
      </c>
      <c r="CV29" s="110" t="str">
        <f ca="1">RESULTADOS!BZ46</f>
        <v/>
      </c>
      <c r="CW29" s="110" t="str">
        <f ca="1">RESULTADOS!CA46</f>
        <v/>
      </c>
      <c r="CX29" s="110" t="str">
        <f ca="1">RESULTADOS!CB46</f>
        <v/>
      </c>
      <c r="CY29" s="110" t="str">
        <f ca="1">RESULTADOS!CC46</f>
        <v/>
      </c>
      <c r="CZ29" s="110" t="str">
        <f ca="1">RESULTADOS!CD46</f>
        <v/>
      </c>
      <c r="DA29" s="110" t="str">
        <f ca="1">RESULTADOS!CE46</f>
        <v/>
      </c>
      <c r="DB29" s="110" t="str">
        <f ca="1">RESULTADOS!CF46</f>
        <v/>
      </c>
      <c r="DC29" s="110" t="str">
        <f ca="1">RESULTADOS!CG46</f>
        <v/>
      </c>
      <c r="DD29" s="110" t="str">
        <f ca="1">RESULTADOS!CH46</f>
        <v/>
      </c>
      <c r="DE29" s="110" t="str">
        <f ca="1">RESULTADOS!CI46</f>
        <v/>
      </c>
      <c r="DF29" s="110" t="str">
        <f ca="1">RESULTADOS!CJ46</f>
        <v/>
      </c>
      <c r="DG29" s="110" t="str">
        <f ca="1">RESULTADOS!CK46</f>
        <v/>
      </c>
      <c r="DH29" s="110" t="str">
        <f ca="1">RESULTADOS!CL46</f>
        <v/>
      </c>
      <c r="DI29" s="110" t="str">
        <f ca="1">RESULTADOS!CM46</f>
        <v/>
      </c>
      <c r="DJ29" s="110" t="str">
        <f ca="1">RESULTADOS!CN46</f>
        <v/>
      </c>
      <c r="DK29" s="110" t="str">
        <f ca="1">RESULTADOS!CO46</f>
        <v/>
      </c>
      <c r="DL29" s="110" t="str">
        <f ca="1">RESULTADOS!CP46</f>
        <v/>
      </c>
      <c r="DM29" s="110" t="str">
        <f ca="1">RESULTADOS!CQ46</f>
        <v/>
      </c>
      <c r="DN29" s="110" t="str">
        <f ca="1">RESULTADOS!CR46</f>
        <v/>
      </c>
      <c r="DO29" s="112" t="str">
        <f>RESULTADOS!B87</f>
        <v/>
      </c>
      <c r="DP29" s="112" t="str">
        <f>RESULTADOS!C87</f>
        <v/>
      </c>
      <c r="DQ29" s="112" t="str">
        <f t="shared" si="1"/>
        <v/>
      </c>
      <c r="DR29" s="112" t="str" cm="1">
        <f t="array" ref="DR29">IFERROR(INDEX('03.Muestra'!$E$8:$E$42,SMALL(IF("Documento no web"='03.Muestra'!$D$8:$D$42,ROW('03.Muestra'!$E$8:$E$42)-MIN(ROW('03.Muestra'!$D$8:$D$42))+1,""),ROW()-2)),"")</f>
        <v/>
      </c>
      <c r="DS29" s="112" t="str">
        <f>RESULTADOS!D87</f>
        <v/>
      </c>
      <c r="DT29" s="112" t="str" cm="1">
        <f t="array" ref="DT29">IFERROR(INDEX('03.Muestra'!$G$8:$G$42,SMALL(IF("Documento no web"='03.Muestra'!$D$8:$D$42,ROW('03.Muestra'!$G$8:$G$42)-MIN(ROW('03.Muestra'!$D$8:$D$42))+1,""),ROW()-2)),"")</f>
        <v/>
      </c>
      <c r="DU29" s="187" t="str" cm="1">
        <f t="array" ref="DU29">IFERROR(INDEX('03.Muestra'!$H$8:$H$42,SMALL(IF("Documento no web"='03.Muestra'!$D$8:$D$42,ROW('03.Muestra'!$H$8:$H$42)-MIN(ROW('03.Muestra'!$D$8:$D$42))+1,""),ROW()-2)),"")</f>
        <v/>
      </c>
      <c r="DV29" s="110" t="str">
        <f ca="1">RESULTADOS!E87</f>
        <v/>
      </c>
      <c r="DW29" s="110" t="str">
        <f ca="1">RESULTADOS!F87</f>
        <v/>
      </c>
      <c r="DX29" s="110" t="str">
        <f ca="1">RESULTADOS!G87</f>
        <v/>
      </c>
      <c r="DY29" s="110" t="str">
        <f ca="1">RESULTADOS!H87</f>
        <v/>
      </c>
      <c r="DZ29" s="110" t="str">
        <f ca="1">RESULTADOS!I87</f>
        <v/>
      </c>
      <c r="EA29" s="110" t="str">
        <f ca="1">RESULTADOS!J87</f>
        <v/>
      </c>
      <c r="EB29" s="110" t="str">
        <f ca="1">RESULTADOS!K87</f>
        <v/>
      </c>
      <c r="EC29" s="110" t="str">
        <f ca="1">RESULTADOS!L87</f>
        <v/>
      </c>
      <c r="ED29" s="110" t="str">
        <f ca="1">RESULTADOS!M87</f>
        <v/>
      </c>
      <c r="EE29" s="110" t="str">
        <f ca="1">RESULTADOS!N87</f>
        <v/>
      </c>
      <c r="EF29" s="110" t="str">
        <f ca="1">RESULTADOS!O87</f>
        <v/>
      </c>
      <c r="EG29" s="110" t="str">
        <f ca="1">RESULTADOS!P87</f>
        <v/>
      </c>
      <c r="EH29" s="110" t="str">
        <f ca="1">RESULTADOS!Q87</f>
        <v/>
      </c>
      <c r="EI29" s="110" t="str">
        <f ca="1">RESULTADOS!R87</f>
        <v/>
      </c>
      <c r="EJ29" s="110" t="str">
        <f ca="1">RESULTADOS!S87</f>
        <v/>
      </c>
      <c r="EK29" s="110" t="str">
        <f ca="1">RESULTADOS!T87</f>
        <v/>
      </c>
      <c r="EL29" s="110" t="str">
        <f ca="1">RESULTADOS!U87</f>
        <v/>
      </c>
      <c r="EM29" s="110" t="str">
        <f ca="1">RESULTADOS!V87</f>
        <v/>
      </c>
      <c r="EN29" s="110" t="str">
        <f ca="1">RESULTADOS!W87</f>
        <v/>
      </c>
      <c r="EO29" s="110" t="str">
        <f ca="1">RESULTADOS!X87</f>
        <v/>
      </c>
      <c r="EP29" s="110" t="str">
        <f ca="1">RESULTADOS!Y87</f>
        <v/>
      </c>
      <c r="EQ29" s="110" t="str">
        <f ca="1">RESULTADOS!Z87</f>
        <v/>
      </c>
      <c r="ER29" s="110" t="str">
        <f ca="1">RESULTADOS!AA87</f>
        <v/>
      </c>
      <c r="ES29" s="110" t="str">
        <f ca="1">RESULTADOS!AB87</f>
        <v/>
      </c>
      <c r="ET29" s="110" t="str">
        <f ca="1">RESULTADOS!AC87</f>
        <v/>
      </c>
      <c r="EU29" s="110" t="str">
        <f ca="1">RESULTADOS!AD87</f>
        <v/>
      </c>
      <c r="EV29" s="110" t="str">
        <f ca="1">RESULTADOS!AE87</f>
        <v/>
      </c>
      <c r="EW29" s="110" t="str">
        <f ca="1">RESULTADOS!AF87</f>
        <v/>
      </c>
      <c r="EX29" s="110" t="str">
        <f ca="1">RESULTADOS!AG87</f>
        <v/>
      </c>
      <c r="EY29" s="110" t="str">
        <f ca="1">RESULTADOS!AH87</f>
        <v/>
      </c>
      <c r="EZ29" s="110" t="str">
        <f ca="1">RESULTADOS!AI87</f>
        <v/>
      </c>
      <c r="FA29" s="110" t="str">
        <f ca="1">RESULTADOS!AJ87</f>
        <v/>
      </c>
      <c r="FB29" s="110" t="str">
        <f ca="1">RESULTADOS!AK87</f>
        <v/>
      </c>
      <c r="FC29" s="110" t="str">
        <f ca="1">RESULTADOS!AL87</f>
        <v/>
      </c>
      <c r="FD29" s="110" t="str">
        <f ca="1">RESULTADOS!AM87</f>
        <v/>
      </c>
      <c r="FE29" s="110" t="str">
        <f ca="1">RESULTADOS!AN87</f>
        <v/>
      </c>
      <c r="FF29" s="110" t="str">
        <f ca="1">RESULTADOS!AO87</f>
        <v/>
      </c>
      <c r="FG29" s="110" t="str">
        <f ca="1">RESULTADOS!AP87</f>
        <v/>
      </c>
      <c r="FH29" s="110" t="str">
        <f ca="1">RESULTADOS!AQ87</f>
        <v/>
      </c>
      <c r="FI29" s="110" t="str">
        <f ca="1">RESULTADOS!AR87</f>
        <v/>
      </c>
      <c r="FJ29" s="110" t="str">
        <f ca="1">RESULTADOS!AS87</f>
        <v/>
      </c>
      <c r="FK29" s="110" t="str">
        <f ca="1">RESULTADOS!AT87</f>
        <v/>
      </c>
      <c r="FL29" s="110" t="str">
        <f ca="1">RESULTADOS!AU87</f>
        <v/>
      </c>
      <c r="FM29" s="110" t="str">
        <f ca="1">RESULTADOS!AV87</f>
        <v/>
      </c>
      <c r="FN29" s="110" t="str">
        <f ca="1">RESULTADOS!AW87</f>
        <v/>
      </c>
    </row>
    <row r="30" spans="3:170">
      <c r="C30" t="s">
        <v>47</v>
      </c>
      <c r="D30" s="111" t="str">
        <f>'01.Definición de ámbito'!C60</f>
        <v>Madrid Digital</v>
      </c>
      <c r="T30" s="112" t="str">
        <f>RESULTADOS!B47</f>
        <v/>
      </c>
      <c r="U30" s="112" t="str">
        <f>RESULTADOS!C47</f>
        <v/>
      </c>
      <c r="V30" s="112" t="str">
        <f t="shared" si="0"/>
        <v/>
      </c>
      <c r="W30" s="112" t="str">
        <v/>
      </c>
      <c r="X30" s="112" t="str">
        <f>RESULTADOS!D47</f>
        <v/>
      </c>
      <c r="Y30" s="112" t="str">
        <v/>
      </c>
      <c r="Z30" s="187" t="str">
        <v/>
      </c>
      <c r="AA30" s="110" t="str">
        <f ca="1">RESULTADOS!E47</f>
        <v/>
      </c>
      <c r="AB30" s="110" t="str">
        <f ca="1">RESULTADOS!F47</f>
        <v/>
      </c>
      <c r="AC30" s="110" t="str">
        <f ca="1">RESULTADOS!G47</f>
        <v/>
      </c>
      <c r="AD30" s="110" t="str">
        <f ca="1">RESULTADOS!H47</f>
        <v/>
      </c>
      <c r="AE30" s="110" t="str">
        <f ca="1">RESULTADOS!I47</f>
        <v/>
      </c>
      <c r="AF30" s="110" t="str">
        <f ca="1">RESULTADOS!J47</f>
        <v/>
      </c>
      <c r="AG30" s="110" t="str">
        <f ca="1">RESULTADOS!K47</f>
        <v/>
      </c>
      <c r="AH30" s="110" t="str">
        <f ca="1">RESULTADOS!L47</f>
        <v/>
      </c>
      <c r="AI30" s="110" t="str">
        <f ca="1">RESULTADOS!M47</f>
        <v/>
      </c>
      <c r="AJ30" s="110" t="str">
        <f ca="1">RESULTADOS!N47</f>
        <v/>
      </c>
      <c r="AK30" s="110" t="str">
        <f ca="1">RESULTADOS!O47</f>
        <v/>
      </c>
      <c r="AL30" s="110" t="str">
        <f ca="1">RESULTADOS!P47</f>
        <v/>
      </c>
      <c r="AM30" s="110" t="str">
        <f ca="1">RESULTADOS!Q47</f>
        <v/>
      </c>
      <c r="AN30" s="110" t="str">
        <f ca="1">RESULTADOS!R47</f>
        <v/>
      </c>
      <c r="AO30" s="110" t="str">
        <f ca="1">RESULTADOS!S47</f>
        <v/>
      </c>
      <c r="AP30" s="110" t="str">
        <f ca="1">RESULTADOS!T47</f>
        <v/>
      </c>
      <c r="AQ30" s="110" t="str">
        <f ca="1">RESULTADOS!U47</f>
        <v/>
      </c>
      <c r="AR30" s="110" t="str">
        <f ca="1">RESULTADOS!V47</f>
        <v/>
      </c>
      <c r="AS30" s="110" t="str">
        <f ca="1">RESULTADOS!W47</f>
        <v/>
      </c>
      <c r="AT30" s="110" t="str">
        <f ca="1">RESULTADOS!X47</f>
        <v/>
      </c>
      <c r="AU30" s="110" t="str">
        <f ca="1">RESULTADOS!Y47</f>
        <v/>
      </c>
      <c r="AV30" s="110" t="str">
        <f ca="1">RESULTADOS!Z47</f>
        <v/>
      </c>
      <c r="AW30" s="110" t="str">
        <f ca="1">RESULTADOS!AA47</f>
        <v/>
      </c>
      <c r="AX30" s="110" t="str">
        <f ca="1">RESULTADOS!AB47</f>
        <v/>
      </c>
      <c r="AY30" s="110" t="str">
        <f ca="1">RESULTADOS!AC47</f>
        <v/>
      </c>
      <c r="AZ30" s="110" t="str">
        <f ca="1">RESULTADOS!AD47</f>
        <v/>
      </c>
      <c r="BA30" s="110" t="str">
        <f ca="1">RESULTADOS!AE47</f>
        <v/>
      </c>
      <c r="BB30" s="110" t="str">
        <f ca="1">RESULTADOS!AF47</f>
        <v/>
      </c>
      <c r="BC30" s="110" t="str">
        <f ca="1">RESULTADOS!AG47</f>
        <v/>
      </c>
      <c r="BD30" s="110" t="str">
        <f ca="1">RESULTADOS!AH47</f>
        <v/>
      </c>
      <c r="BE30" s="110" t="str">
        <f ca="1">RESULTADOS!AI47</f>
        <v/>
      </c>
      <c r="BF30" s="110" t="str">
        <f ca="1">RESULTADOS!AJ47</f>
        <v/>
      </c>
      <c r="BG30" s="110" t="str">
        <f ca="1">RESULTADOS!AK47</f>
        <v/>
      </c>
      <c r="BH30" s="110" t="str">
        <f ca="1">RESULTADOS!AL47</f>
        <v/>
      </c>
      <c r="BI30" s="110" t="str">
        <f ca="1">RESULTADOS!AM47</f>
        <v/>
      </c>
      <c r="BJ30" s="110" t="str">
        <f ca="1">RESULTADOS!AN47</f>
        <v/>
      </c>
      <c r="BK30" s="110" t="str">
        <f ca="1">RESULTADOS!AO47</f>
        <v/>
      </c>
      <c r="BL30" s="110" t="str">
        <f ca="1">RESULTADOS!AP47</f>
        <v/>
      </c>
      <c r="BM30" s="110" t="str">
        <f ca="1">RESULTADOS!AQ47</f>
        <v/>
      </c>
      <c r="BN30" s="110" t="str">
        <f ca="1">RESULTADOS!AR47</f>
        <v/>
      </c>
      <c r="BO30" s="110" t="str">
        <f ca="1">RESULTADOS!AS47</f>
        <v/>
      </c>
      <c r="BP30" s="110" t="str">
        <f ca="1">RESULTADOS!AT47</f>
        <v/>
      </c>
      <c r="BQ30" s="110" t="str">
        <f ca="1">RESULTADOS!AU47</f>
        <v/>
      </c>
      <c r="BR30" s="110" t="str">
        <f ca="1">RESULTADOS!AV47</f>
        <v/>
      </c>
      <c r="BS30" s="110" t="str">
        <f ca="1">RESULTADOS!AW47</f>
        <v/>
      </c>
      <c r="BT30" s="110" t="str">
        <f ca="1">RESULTADOS!AX47</f>
        <v/>
      </c>
      <c r="BU30" s="110" t="str">
        <f ca="1">RESULTADOS!AY47</f>
        <v/>
      </c>
      <c r="BV30" s="110" t="str">
        <f ca="1">RESULTADOS!AZ47</f>
        <v/>
      </c>
      <c r="BW30" s="110" t="str">
        <f ca="1">RESULTADOS!BA47</f>
        <v/>
      </c>
      <c r="BX30" s="110" t="str">
        <f ca="1">RESULTADOS!BB47</f>
        <v/>
      </c>
      <c r="BY30" s="110" t="str">
        <f ca="1">RESULTADOS!BC47</f>
        <v/>
      </c>
      <c r="BZ30" s="110" t="str">
        <f ca="1">RESULTADOS!BD47</f>
        <v/>
      </c>
      <c r="CA30" s="110" t="str">
        <f ca="1">RESULTADOS!BE47</f>
        <v/>
      </c>
      <c r="CB30" s="110" t="str">
        <f ca="1">RESULTADOS!BF47</f>
        <v/>
      </c>
      <c r="CC30" s="110" t="str">
        <f ca="1">RESULTADOS!BG47</f>
        <v/>
      </c>
      <c r="CD30" s="110" t="str">
        <f ca="1">RESULTADOS!BH47</f>
        <v/>
      </c>
      <c r="CE30" s="110" t="str">
        <f ca="1">RESULTADOS!BI47</f>
        <v/>
      </c>
      <c r="CF30" s="110" t="str">
        <f ca="1">RESULTADOS!BJ47</f>
        <v/>
      </c>
      <c r="CG30" s="110" t="str">
        <f ca="1">RESULTADOS!BK47</f>
        <v/>
      </c>
      <c r="CH30" s="110" t="str">
        <f ca="1">RESULTADOS!BL47</f>
        <v/>
      </c>
      <c r="CI30" s="110" t="str">
        <f ca="1">RESULTADOS!BM47</f>
        <v/>
      </c>
      <c r="CJ30" s="110" t="str">
        <f ca="1">RESULTADOS!BN47</f>
        <v/>
      </c>
      <c r="CK30" s="110" t="str">
        <f ca="1">RESULTADOS!BO47</f>
        <v/>
      </c>
      <c r="CL30" s="110" t="str">
        <f ca="1">RESULTADOS!BP47</f>
        <v/>
      </c>
      <c r="CM30" s="110" t="str">
        <f ca="1">RESULTADOS!BQ47</f>
        <v/>
      </c>
      <c r="CN30" s="110" t="str">
        <f ca="1">RESULTADOS!BR47</f>
        <v/>
      </c>
      <c r="CO30" s="110" t="str">
        <f ca="1">RESULTADOS!BS47</f>
        <v/>
      </c>
      <c r="CP30" s="110" t="str">
        <f ca="1">RESULTADOS!BT47</f>
        <v/>
      </c>
      <c r="CQ30" s="110" t="str">
        <f ca="1">RESULTADOS!BU47</f>
        <v/>
      </c>
      <c r="CR30" s="110" t="str">
        <f ca="1">RESULTADOS!BV47</f>
        <v/>
      </c>
      <c r="CS30" s="110" t="str">
        <f ca="1">RESULTADOS!BW47</f>
        <v/>
      </c>
      <c r="CT30" s="110" t="str">
        <f ca="1">RESULTADOS!BX47</f>
        <v/>
      </c>
      <c r="CU30" s="110" t="str">
        <f ca="1">RESULTADOS!BY47</f>
        <v/>
      </c>
      <c r="CV30" s="110" t="str">
        <f ca="1">RESULTADOS!BZ47</f>
        <v/>
      </c>
      <c r="CW30" s="110" t="str">
        <f ca="1">RESULTADOS!CA47</f>
        <v/>
      </c>
      <c r="CX30" s="110" t="str">
        <f ca="1">RESULTADOS!CB47</f>
        <v/>
      </c>
      <c r="CY30" s="110" t="str">
        <f ca="1">RESULTADOS!CC47</f>
        <v/>
      </c>
      <c r="CZ30" s="110" t="str">
        <f ca="1">RESULTADOS!CD47</f>
        <v/>
      </c>
      <c r="DA30" s="110" t="str">
        <f ca="1">RESULTADOS!CE47</f>
        <v/>
      </c>
      <c r="DB30" s="110" t="str">
        <f ca="1">RESULTADOS!CF47</f>
        <v/>
      </c>
      <c r="DC30" s="110" t="str">
        <f ca="1">RESULTADOS!CG47</f>
        <v/>
      </c>
      <c r="DD30" s="110" t="str">
        <f ca="1">RESULTADOS!CH47</f>
        <v/>
      </c>
      <c r="DE30" s="110" t="str">
        <f ca="1">RESULTADOS!CI47</f>
        <v/>
      </c>
      <c r="DF30" s="110" t="str">
        <f ca="1">RESULTADOS!CJ47</f>
        <v/>
      </c>
      <c r="DG30" s="110" t="str">
        <f ca="1">RESULTADOS!CK47</f>
        <v/>
      </c>
      <c r="DH30" s="110" t="str">
        <f ca="1">RESULTADOS!CL47</f>
        <v/>
      </c>
      <c r="DI30" s="110" t="str">
        <f ca="1">RESULTADOS!CM47</f>
        <v/>
      </c>
      <c r="DJ30" s="110" t="str">
        <f ca="1">RESULTADOS!CN47</f>
        <v/>
      </c>
      <c r="DK30" s="110" t="str">
        <f ca="1">RESULTADOS!CO47</f>
        <v/>
      </c>
      <c r="DL30" s="110" t="str">
        <f ca="1">RESULTADOS!CP47</f>
        <v/>
      </c>
      <c r="DM30" s="110" t="str">
        <f ca="1">RESULTADOS!CQ47</f>
        <v/>
      </c>
      <c r="DN30" s="110" t="str">
        <f ca="1">RESULTADOS!CR47</f>
        <v/>
      </c>
      <c r="DO30" s="112" t="str">
        <f>RESULTADOS!B88</f>
        <v/>
      </c>
      <c r="DP30" s="112" t="str">
        <f>RESULTADOS!C88</f>
        <v/>
      </c>
      <c r="DQ30" s="112" t="str">
        <f t="shared" si="1"/>
        <v/>
      </c>
      <c r="DR30" s="112" t="str" cm="1">
        <f t="array" ref="DR30">IFERROR(INDEX('03.Muestra'!$E$8:$E$42,SMALL(IF("Documento no web"='03.Muestra'!$D$8:$D$42,ROW('03.Muestra'!$E$8:$E$42)-MIN(ROW('03.Muestra'!$D$8:$D$42))+1,""),ROW()-2)),"")</f>
        <v/>
      </c>
      <c r="DS30" s="112" t="str">
        <f>RESULTADOS!D88</f>
        <v/>
      </c>
      <c r="DT30" s="112" t="str" cm="1">
        <f t="array" ref="DT30">IFERROR(INDEX('03.Muestra'!$G$8:$G$42,SMALL(IF("Documento no web"='03.Muestra'!$D$8:$D$42,ROW('03.Muestra'!$G$8:$G$42)-MIN(ROW('03.Muestra'!$D$8:$D$42))+1,""),ROW()-2)),"")</f>
        <v/>
      </c>
      <c r="DU30" s="187" t="str" cm="1">
        <f t="array" ref="DU30">IFERROR(INDEX('03.Muestra'!$H$8:$H$42,SMALL(IF("Documento no web"='03.Muestra'!$D$8:$D$42,ROW('03.Muestra'!$H$8:$H$42)-MIN(ROW('03.Muestra'!$D$8:$D$42))+1,""),ROW()-2)),"")</f>
        <v/>
      </c>
      <c r="DV30" s="110" t="str">
        <f ca="1">RESULTADOS!E88</f>
        <v/>
      </c>
      <c r="DW30" s="110" t="str">
        <f ca="1">RESULTADOS!F88</f>
        <v/>
      </c>
      <c r="DX30" s="110" t="str">
        <f ca="1">RESULTADOS!G88</f>
        <v/>
      </c>
      <c r="DY30" s="110" t="str">
        <f ca="1">RESULTADOS!H88</f>
        <v/>
      </c>
      <c r="DZ30" s="110" t="str">
        <f ca="1">RESULTADOS!I88</f>
        <v/>
      </c>
      <c r="EA30" s="110" t="str">
        <f ca="1">RESULTADOS!J88</f>
        <v/>
      </c>
      <c r="EB30" s="110" t="str">
        <f ca="1">RESULTADOS!K88</f>
        <v/>
      </c>
      <c r="EC30" s="110" t="str">
        <f ca="1">RESULTADOS!L88</f>
        <v/>
      </c>
      <c r="ED30" s="110" t="str">
        <f ca="1">RESULTADOS!M88</f>
        <v/>
      </c>
      <c r="EE30" s="110" t="str">
        <f ca="1">RESULTADOS!N88</f>
        <v/>
      </c>
      <c r="EF30" s="110" t="str">
        <f ca="1">RESULTADOS!O88</f>
        <v/>
      </c>
      <c r="EG30" s="110" t="str">
        <f ca="1">RESULTADOS!P88</f>
        <v/>
      </c>
      <c r="EH30" s="110" t="str">
        <f ca="1">RESULTADOS!Q88</f>
        <v/>
      </c>
      <c r="EI30" s="110" t="str">
        <f ca="1">RESULTADOS!R88</f>
        <v/>
      </c>
      <c r="EJ30" s="110" t="str">
        <f ca="1">RESULTADOS!S88</f>
        <v/>
      </c>
      <c r="EK30" s="110" t="str">
        <f ca="1">RESULTADOS!T88</f>
        <v/>
      </c>
      <c r="EL30" s="110" t="str">
        <f ca="1">RESULTADOS!U88</f>
        <v/>
      </c>
      <c r="EM30" s="110" t="str">
        <f ca="1">RESULTADOS!V88</f>
        <v/>
      </c>
      <c r="EN30" s="110" t="str">
        <f ca="1">RESULTADOS!W88</f>
        <v/>
      </c>
      <c r="EO30" s="110" t="str">
        <f ca="1">RESULTADOS!X88</f>
        <v/>
      </c>
      <c r="EP30" s="110" t="str">
        <f ca="1">RESULTADOS!Y88</f>
        <v/>
      </c>
      <c r="EQ30" s="110" t="str">
        <f ca="1">RESULTADOS!Z88</f>
        <v/>
      </c>
      <c r="ER30" s="110" t="str">
        <f ca="1">RESULTADOS!AA88</f>
        <v/>
      </c>
      <c r="ES30" s="110" t="str">
        <f ca="1">RESULTADOS!AB88</f>
        <v/>
      </c>
      <c r="ET30" s="110" t="str">
        <f ca="1">RESULTADOS!AC88</f>
        <v/>
      </c>
      <c r="EU30" s="110" t="str">
        <f ca="1">RESULTADOS!AD88</f>
        <v/>
      </c>
      <c r="EV30" s="110" t="str">
        <f ca="1">RESULTADOS!AE88</f>
        <v/>
      </c>
      <c r="EW30" s="110" t="str">
        <f ca="1">RESULTADOS!AF88</f>
        <v/>
      </c>
      <c r="EX30" s="110" t="str">
        <f ca="1">RESULTADOS!AG88</f>
        <v/>
      </c>
      <c r="EY30" s="110" t="str">
        <f ca="1">RESULTADOS!AH88</f>
        <v/>
      </c>
      <c r="EZ30" s="110" t="str">
        <f ca="1">RESULTADOS!AI88</f>
        <v/>
      </c>
      <c r="FA30" s="110" t="str">
        <f ca="1">RESULTADOS!AJ88</f>
        <v/>
      </c>
      <c r="FB30" s="110" t="str">
        <f ca="1">RESULTADOS!AK88</f>
        <v/>
      </c>
      <c r="FC30" s="110" t="str">
        <f ca="1">RESULTADOS!AL88</f>
        <v/>
      </c>
      <c r="FD30" s="110" t="str">
        <f ca="1">RESULTADOS!AM88</f>
        <v/>
      </c>
      <c r="FE30" s="110" t="str">
        <f ca="1">RESULTADOS!AN88</f>
        <v/>
      </c>
      <c r="FF30" s="110" t="str">
        <f ca="1">RESULTADOS!AO88</f>
        <v/>
      </c>
      <c r="FG30" s="110" t="str">
        <f ca="1">RESULTADOS!AP88</f>
        <v/>
      </c>
      <c r="FH30" s="110" t="str">
        <f ca="1">RESULTADOS!AQ88</f>
        <v/>
      </c>
      <c r="FI30" s="110" t="str">
        <f ca="1">RESULTADOS!AR88</f>
        <v/>
      </c>
      <c r="FJ30" s="110" t="str">
        <f ca="1">RESULTADOS!AS88</f>
        <v/>
      </c>
      <c r="FK30" s="110" t="str">
        <f ca="1">RESULTADOS!AT88</f>
        <v/>
      </c>
      <c r="FL30" s="110" t="str">
        <f ca="1">RESULTADOS!AU88</f>
        <v/>
      </c>
      <c r="FM30" s="110" t="str">
        <f ca="1">RESULTADOS!AV88</f>
        <v/>
      </c>
      <c r="FN30" s="110" t="str">
        <f ca="1">RESULTADOS!AW88</f>
        <v/>
      </c>
    </row>
    <row r="31" spans="3:170">
      <c r="C31" t="s">
        <v>48</v>
      </c>
      <c r="D31" s="111">
        <f>'01.Definición de ámbito'!C62</f>
        <v>0</v>
      </c>
      <c r="K31" s="117"/>
      <c r="T31" s="112" t="str">
        <f>RESULTADOS!B48</f>
        <v/>
      </c>
      <c r="U31" s="112" t="str">
        <f>RESULTADOS!C48</f>
        <v/>
      </c>
      <c r="V31" s="112" t="str">
        <f t="shared" si="0"/>
        <v/>
      </c>
      <c r="W31" s="112" t="str">
        <v/>
      </c>
      <c r="X31" s="112" t="str">
        <f>RESULTADOS!D48</f>
        <v/>
      </c>
      <c r="Y31" s="112" t="str">
        <v/>
      </c>
      <c r="Z31" s="187" t="str">
        <v/>
      </c>
      <c r="AA31" s="110" t="str">
        <f ca="1">RESULTADOS!E48</f>
        <v/>
      </c>
      <c r="AB31" s="110" t="str">
        <f ca="1">RESULTADOS!F48</f>
        <v/>
      </c>
      <c r="AC31" s="110" t="str">
        <f ca="1">RESULTADOS!G48</f>
        <v/>
      </c>
      <c r="AD31" s="110" t="str">
        <f ca="1">RESULTADOS!H48</f>
        <v/>
      </c>
      <c r="AE31" s="110" t="str">
        <f ca="1">RESULTADOS!I48</f>
        <v/>
      </c>
      <c r="AF31" s="110" t="str">
        <f ca="1">RESULTADOS!J48</f>
        <v/>
      </c>
      <c r="AG31" s="110" t="str">
        <f ca="1">RESULTADOS!K48</f>
        <v/>
      </c>
      <c r="AH31" s="110" t="str">
        <f ca="1">RESULTADOS!L48</f>
        <v/>
      </c>
      <c r="AI31" s="110" t="str">
        <f ca="1">RESULTADOS!M48</f>
        <v/>
      </c>
      <c r="AJ31" s="110" t="str">
        <f ca="1">RESULTADOS!N48</f>
        <v/>
      </c>
      <c r="AK31" s="110" t="str">
        <f ca="1">RESULTADOS!O48</f>
        <v/>
      </c>
      <c r="AL31" s="110" t="str">
        <f ca="1">RESULTADOS!P48</f>
        <v/>
      </c>
      <c r="AM31" s="110" t="str">
        <f ca="1">RESULTADOS!Q48</f>
        <v/>
      </c>
      <c r="AN31" s="110" t="str">
        <f ca="1">RESULTADOS!R48</f>
        <v/>
      </c>
      <c r="AO31" s="110" t="str">
        <f ca="1">RESULTADOS!S48</f>
        <v/>
      </c>
      <c r="AP31" s="110" t="str">
        <f ca="1">RESULTADOS!T48</f>
        <v/>
      </c>
      <c r="AQ31" s="110" t="str">
        <f ca="1">RESULTADOS!U48</f>
        <v/>
      </c>
      <c r="AR31" s="110" t="str">
        <f ca="1">RESULTADOS!V48</f>
        <v/>
      </c>
      <c r="AS31" s="110" t="str">
        <f ca="1">RESULTADOS!W48</f>
        <v/>
      </c>
      <c r="AT31" s="110" t="str">
        <f ca="1">RESULTADOS!X48</f>
        <v/>
      </c>
      <c r="AU31" s="110" t="str">
        <f ca="1">RESULTADOS!Y48</f>
        <v/>
      </c>
      <c r="AV31" s="110" t="str">
        <f ca="1">RESULTADOS!Z48</f>
        <v/>
      </c>
      <c r="AW31" s="110" t="str">
        <f ca="1">RESULTADOS!AA48</f>
        <v/>
      </c>
      <c r="AX31" s="110" t="str">
        <f ca="1">RESULTADOS!AB48</f>
        <v/>
      </c>
      <c r="AY31" s="110" t="str">
        <f ca="1">RESULTADOS!AC48</f>
        <v/>
      </c>
      <c r="AZ31" s="110" t="str">
        <f ca="1">RESULTADOS!AD48</f>
        <v/>
      </c>
      <c r="BA31" s="110" t="str">
        <f ca="1">RESULTADOS!AE48</f>
        <v/>
      </c>
      <c r="BB31" s="110" t="str">
        <f ca="1">RESULTADOS!AF48</f>
        <v/>
      </c>
      <c r="BC31" s="110" t="str">
        <f ca="1">RESULTADOS!AG48</f>
        <v/>
      </c>
      <c r="BD31" s="110" t="str">
        <f ca="1">RESULTADOS!AH48</f>
        <v/>
      </c>
      <c r="BE31" s="110" t="str">
        <f ca="1">RESULTADOS!AI48</f>
        <v/>
      </c>
      <c r="BF31" s="110" t="str">
        <f ca="1">RESULTADOS!AJ48</f>
        <v/>
      </c>
      <c r="BG31" s="110" t="str">
        <f ca="1">RESULTADOS!AK48</f>
        <v/>
      </c>
      <c r="BH31" s="110" t="str">
        <f ca="1">RESULTADOS!AL48</f>
        <v/>
      </c>
      <c r="BI31" s="110" t="str">
        <f ca="1">RESULTADOS!AM48</f>
        <v/>
      </c>
      <c r="BJ31" s="110" t="str">
        <f ca="1">RESULTADOS!AN48</f>
        <v/>
      </c>
      <c r="BK31" s="110" t="str">
        <f ca="1">RESULTADOS!AO48</f>
        <v/>
      </c>
      <c r="BL31" s="110" t="str">
        <f ca="1">RESULTADOS!AP48</f>
        <v/>
      </c>
      <c r="BM31" s="110" t="str">
        <f ca="1">RESULTADOS!AQ48</f>
        <v/>
      </c>
      <c r="BN31" s="110" t="str">
        <f ca="1">RESULTADOS!AR48</f>
        <v/>
      </c>
      <c r="BO31" s="110" t="str">
        <f ca="1">RESULTADOS!AS48</f>
        <v/>
      </c>
      <c r="BP31" s="110" t="str">
        <f ca="1">RESULTADOS!AT48</f>
        <v/>
      </c>
      <c r="BQ31" s="110" t="str">
        <f ca="1">RESULTADOS!AU48</f>
        <v/>
      </c>
      <c r="BR31" s="110" t="str">
        <f ca="1">RESULTADOS!AV48</f>
        <v/>
      </c>
      <c r="BS31" s="110" t="str">
        <f ca="1">RESULTADOS!AW48</f>
        <v/>
      </c>
      <c r="BT31" s="110" t="str">
        <f ca="1">RESULTADOS!AX48</f>
        <v/>
      </c>
      <c r="BU31" s="110" t="str">
        <f ca="1">RESULTADOS!AY48</f>
        <v/>
      </c>
      <c r="BV31" s="110" t="str">
        <f ca="1">RESULTADOS!AZ48</f>
        <v/>
      </c>
      <c r="BW31" s="110" t="str">
        <f ca="1">RESULTADOS!BA48</f>
        <v/>
      </c>
      <c r="BX31" s="110" t="str">
        <f ca="1">RESULTADOS!BB48</f>
        <v/>
      </c>
      <c r="BY31" s="110" t="str">
        <f ca="1">RESULTADOS!BC48</f>
        <v/>
      </c>
      <c r="BZ31" s="110" t="str">
        <f ca="1">RESULTADOS!BD48</f>
        <v/>
      </c>
      <c r="CA31" s="110" t="str">
        <f ca="1">RESULTADOS!BE48</f>
        <v/>
      </c>
      <c r="CB31" s="110" t="str">
        <f ca="1">RESULTADOS!BF48</f>
        <v/>
      </c>
      <c r="CC31" s="110" t="str">
        <f ca="1">RESULTADOS!BG48</f>
        <v/>
      </c>
      <c r="CD31" s="110" t="str">
        <f ca="1">RESULTADOS!BH48</f>
        <v/>
      </c>
      <c r="CE31" s="110" t="str">
        <f ca="1">RESULTADOS!BI48</f>
        <v/>
      </c>
      <c r="CF31" s="110" t="str">
        <f ca="1">RESULTADOS!BJ48</f>
        <v/>
      </c>
      <c r="CG31" s="110" t="str">
        <f ca="1">RESULTADOS!BK48</f>
        <v/>
      </c>
      <c r="CH31" s="110" t="str">
        <f ca="1">RESULTADOS!BL48</f>
        <v/>
      </c>
      <c r="CI31" s="110" t="str">
        <f ca="1">RESULTADOS!BM48</f>
        <v/>
      </c>
      <c r="CJ31" s="110" t="str">
        <f ca="1">RESULTADOS!BN48</f>
        <v/>
      </c>
      <c r="CK31" s="110" t="str">
        <f ca="1">RESULTADOS!BO48</f>
        <v/>
      </c>
      <c r="CL31" s="110" t="str">
        <f ca="1">RESULTADOS!BP48</f>
        <v/>
      </c>
      <c r="CM31" s="110" t="str">
        <f ca="1">RESULTADOS!BQ48</f>
        <v/>
      </c>
      <c r="CN31" s="110" t="str">
        <f ca="1">RESULTADOS!BR48</f>
        <v/>
      </c>
      <c r="CO31" s="110" t="str">
        <f ca="1">RESULTADOS!BS48</f>
        <v/>
      </c>
      <c r="CP31" s="110" t="str">
        <f ca="1">RESULTADOS!BT48</f>
        <v/>
      </c>
      <c r="CQ31" s="110" t="str">
        <f ca="1">RESULTADOS!BU48</f>
        <v/>
      </c>
      <c r="CR31" s="110" t="str">
        <f ca="1">RESULTADOS!BV48</f>
        <v/>
      </c>
      <c r="CS31" s="110" t="str">
        <f ca="1">RESULTADOS!BW48</f>
        <v/>
      </c>
      <c r="CT31" s="110" t="str">
        <f ca="1">RESULTADOS!BX48</f>
        <v/>
      </c>
      <c r="CU31" s="110" t="str">
        <f ca="1">RESULTADOS!BY48</f>
        <v/>
      </c>
      <c r="CV31" s="110" t="str">
        <f ca="1">RESULTADOS!BZ48</f>
        <v/>
      </c>
      <c r="CW31" s="110" t="str">
        <f ca="1">RESULTADOS!CA48</f>
        <v/>
      </c>
      <c r="CX31" s="110" t="str">
        <f ca="1">RESULTADOS!CB48</f>
        <v/>
      </c>
      <c r="CY31" s="110" t="str">
        <f ca="1">RESULTADOS!CC48</f>
        <v/>
      </c>
      <c r="CZ31" s="110" t="str">
        <f ca="1">RESULTADOS!CD48</f>
        <v/>
      </c>
      <c r="DA31" s="110" t="str">
        <f ca="1">RESULTADOS!CE48</f>
        <v/>
      </c>
      <c r="DB31" s="110" t="str">
        <f ca="1">RESULTADOS!CF48</f>
        <v/>
      </c>
      <c r="DC31" s="110" t="str">
        <f ca="1">RESULTADOS!CG48</f>
        <v/>
      </c>
      <c r="DD31" s="110" t="str">
        <f ca="1">RESULTADOS!CH48</f>
        <v/>
      </c>
      <c r="DE31" s="110" t="str">
        <f ca="1">RESULTADOS!CI48</f>
        <v/>
      </c>
      <c r="DF31" s="110" t="str">
        <f ca="1">RESULTADOS!CJ48</f>
        <v/>
      </c>
      <c r="DG31" s="110" t="str">
        <f ca="1">RESULTADOS!CK48</f>
        <v/>
      </c>
      <c r="DH31" s="110" t="str">
        <f ca="1">RESULTADOS!CL48</f>
        <v/>
      </c>
      <c r="DI31" s="110" t="str">
        <f ca="1">RESULTADOS!CM48</f>
        <v/>
      </c>
      <c r="DJ31" s="110" t="str">
        <f ca="1">RESULTADOS!CN48</f>
        <v/>
      </c>
      <c r="DK31" s="110" t="str">
        <f ca="1">RESULTADOS!CO48</f>
        <v/>
      </c>
      <c r="DL31" s="110" t="str">
        <f ca="1">RESULTADOS!CP48</f>
        <v/>
      </c>
      <c r="DM31" s="110" t="str">
        <f ca="1">RESULTADOS!CQ48</f>
        <v/>
      </c>
      <c r="DN31" s="110" t="str">
        <f ca="1">RESULTADOS!CR48</f>
        <v/>
      </c>
      <c r="DO31" s="112" t="str">
        <f>RESULTADOS!B89</f>
        <v/>
      </c>
      <c r="DP31" s="112" t="str">
        <f>RESULTADOS!C89</f>
        <v/>
      </c>
      <c r="DQ31" s="112" t="str">
        <f t="shared" si="1"/>
        <v/>
      </c>
      <c r="DR31" s="112" t="str" cm="1">
        <f t="array" ref="DR31">IFERROR(INDEX('03.Muestra'!$E$8:$E$42,SMALL(IF("Documento no web"='03.Muestra'!$D$8:$D$42,ROW('03.Muestra'!$E$8:$E$42)-MIN(ROW('03.Muestra'!$D$8:$D$42))+1,""),ROW()-2)),"")</f>
        <v/>
      </c>
      <c r="DS31" s="112" t="str">
        <f>RESULTADOS!D89</f>
        <v/>
      </c>
      <c r="DT31" s="112" t="str" cm="1">
        <f t="array" ref="DT31">IFERROR(INDEX('03.Muestra'!$G$8:$G$42,SMALL(IF("Documento no web"='03.Muestra'!$D$8:$D$42,ROW('03.Muestra'!$G$8:$G$42)-MIN(ROW('03.Muestra'!$D$8:$D$42))+1,""),ROW()-2)),"")</f>
        <v/>
      </c>
      <c r="DU31" s="187" t="str" cm="1">
        <f t="array" ref="DU31">IFERROR(INDEX('03.Muestra'!$H$8:$H$42,SMALL(IF("Documento no web"='03.Muestra'!$D$8:$D$42,ROW('03.Muestra'!$H$8:$H$42)-MIN(ROW('03.Muestra'!$D$8:$D$42))+1,""),ROW()-2)),"")</f>
        <v/>
      </c>
      <c r="DV31" s="110" t="str">
        <f ca="1">RESULTADOS!E89</f>
        <v/>
      </c>
      <c r="DW31" s="110" t="str">
        <f ca="1">RESULTADOS!F89</f>
        <v/>
      </c>
      <c r="DX31" s="110" t="str">
        <f ca="1">RESULTADOS!G89</f>
        <v/>
      </c>
      <c r="DY31" s="110" t="str">
        <f ca="1">RESULTADOS!H89</f>
        <v/>
      </c>
      <c r="DZ31" s="110" t="str">
        <f ca="1">RESULTADOS!I89</f>
        <v/>
      </c>
      <c r="EA31" s="110" t="str">
        <f ca="1">RESULTADOS!J89</f>
        <v/>
      </c>
      <c r="EB31" s="110" t="str">
        <f ca="1">RESULTADOS!K89</f>
        <v/>
      </c>
      <c r="EC31" s="110" t="str">
        <f ca="1">RESULTADOS!L89</f>
        <v/>
      </c>
      <c r="ED31" s="110" t="str">
        <f ca="1">RESULTADOS!M89</f>
        <v/>
      </c>
      <c r="EE31" s="110" t="str">
        <f ca="1">RESULTADOS!N89</f>
        <v/>
      </c>
      <c r="EF31" s="110" t="str">
        <f ca="1">RESULTADOS!O89</f>
        <v/>
      </c>
      <c r="EG31" s="110" t="str">
        <f ca="1">RESULTADOS!P89</f>
        <v/>
      </c>
      <c r="EH31" s="110" t="str">
        <f ca="1">RESULTADOS!Q89</f>
        <v/>
      </c>
      <c r="EI31" s="110" t="str">
        <f ca="1">RESULTADOS!R89</f>
        <v/>
      </c>
      <c r="EJ31" s="110" t="str">
        <f ca="1">RESULTADOS!S89</f>
        <v/>
      </c>
      <c r="EK31" s="110" t="str">
        <f ca="1">RESULTADOS!T89</f>
        <v/>
      </c>
      <c r="EL31" s="110" t="str">
        <f ca="1">RESULTADOS!U89</f>
        <v/>
      </c>
      <c r="EM31" s="110" t="str">
        <f ca="1">RESULTADOS!V89</f>
        <v/>
      </c>
      <c r="EN31" s="110" t="str">
        <f ca="1">RESULTADOS!W89</f>
        <v/>
      </c>
      <c r="EO31" s="110" t="str">
        <f ca="1">RESULTADOS!X89</f>
        <v/>
      </c>
      <c r="EP31" s="110" t="str">
        <f ca="1">RESULTADOS!Y89</f>
        <v/>
      </c>
      <c r="EQ31" s="110" t="str">
        <f ca="1">RESULTADOS!Z89</f>
        <v/>
      </c>
      <c r="ER31" s="110" t="str">
        <f ca="1">RESULTADOS!AA89</f>
        <v/>
      </c>
      <c r="ES31" s="110" t="str">
        <f ca="1">RESULTADOS!AB89</f>
        <v/>
      </c>
      <c r="ET31" s="110" t="str">
        <f ca="1">RESULTADOS!AC89</f>
        <v/>
      </c>
      <c r="EU31" s="110" t="str">
        <f ca="1">RESULTADOS!AD89</f>
        <v/>
      </c>
      <c r="EV31" s="110" t="str">
        <f ca="1">RESULTADOS!AE89</f>
        <v/>
      </c>
      <c r="EW31" s="110" t="str">
        <f ca="1">RESULTADOS!AF89</f>
        <v/>
      </c>
      <c r="EX31" s="110" t="str">
        <f ca="1">RESULTADOS!AG89</f>
        <v/>
      </c>
      <c r="EY31" s="110" t="str">
        <f ca="1">RESULTADOS!AH89</f>
        <v/>
      </c>
      <c r="EZ31" s="110" t="str">
        <f ca="1">RESULTADOS!AI89</f>
        <v/>
      </c>
      <c r="FA31" s="110" t="str">
        <f ca="1">RESULTADOS!AJ89</f>
        <v/>
      </c>
      <c r="FB31" s="110" t="str">
        <f ca="1">RESULTADOS!AK89</f>
        <v/>
      </c>
      <c r="FC31" s="110" t="str">
        <f ca="1">RESULTADOS!AL89</f>
        <v/>
      </c>
      <c r="FD31" s="110" t="str">
        <f ca="1">RESULTADOS!AM89</f>
        <v/>
      </c>
      <c r="FE31" s="110" t="str">
        <f ca="1">RESULTADOS!AN89</f>
        <v/>
      </c>
      <c r="FF31" s="110" t="str">
        <f ca="1">RESULTADOS!AO89</f>
        <v/>
      </c>
      <c r="FG31" s="110" t="str">
        <f ca="1">RESULTADOS!AP89</f>
        <v/>
      </c>
      <c r="FH31" s="110" t="str">
        <f ca="1">RESULTADOS!AQ89</f>
        <v/>
      </c>
      <c r="FI31" s="110" t="str">
        <f ca="1">RESULTADOS!AR89</f>
        <v/>
      </c>
      <c r="FJ31" s="110" t="str">
        <f ca="1">RESULTADOS!AS89</f>
        <v/>
      </c>
      <c r="FK31" s="110" t="str">
        <f ca="1">RESULTADOS!AT89</f>
        <v/>
      </c>
      <c r="FL31" s="110" t="str">
        <f ca="1">RESULTADOS!AU89</f>
        <v/>
      </c>
      <c r="FM31" s="110" t="str">
        <f ca="1">RESULTADOS!AV89</f>
        <v/>
      </c>
      <c r="FN31" s="110" t="str">
        <f ca="1">RESULTADOS!AW89</f>
        <v/>
      </c>
    </row>
    <row r="32" spans="3:170" ht="13">
      <c r="C32" s="108"/>
      <c r="K32" s="117"/>
      <c r="T32" s="112" t="str">
        <f>RESULTADOS!B49</f>
        <v/>
      </c>
      <c r="U32" s="112" t="str">
        <f>RESULTADOS!C49</f>
        <v/>
      </c>
      <c r="V32" s="112" t="str">
        <f t="shared" si="0"/>
        <v/>
      </c>
      <c r="W32" s="112" t="str">
        <v/>
      </c>
      <c r="X32" s="112" t="str">
        <f>RESULTADOS!D49</f>
        <v/>
      </c>
      <c r="Y32" s="112" t="str">
        <v/>
      </c>
      <c r="Z32" s="187" t="str">
        <v/>
      </c>
      <c r="AA32" s="110" t="str">
        <f ca="1">RESULTADOS!E49</f>
        <v/>
      </c>
      <c r="AB32" s="110" t="str">
        <f ca="1">RESULTADOS!F49</f>
        <v/>
      </c>
      <c r="AC32" s="110" t="str">
        <f ca="1">RESULTADOS!G49</f>
        <v/>
      </c>
      <c r="AD32" s="110" t="str">
        <f ca="1">RESULTADOS!H49</f>
        <v/>
      </c>
      <c r="AE32" s="110" t="str">
        <f ca="1">RESULTADOS!I49</f>
        <v/>
      </c>
      <c r="AF32" s="110" t="str">
        <f ca="1">RESULTADOS!J49</f>
        <v/>
      </c>
      <c r="AG32" s="110" t="str">
        <f ca="1">RESULTADOS!K49</f>
        <v/>
      </c>
      <c r="AH32" s="110" t="str">
        <f ca="1">RESULTADOS!L49</f>
        <v/>
      </c>
      <c r="AI32" s="110" t="str">
        <f ca="1">RESULTADOS!M49</f>
        <v/>
      </c>
      <c r="AJ32" s="110" t="str">
        <f ca="1">RESULTADOS!N49</f>
        <v/>
      </c>
      <c r="AK32" s="110" t="str">
        <f ca="1">RESULTADOS!O49</f>
        <v/>
      </c>
      <c r="AL32" s="110" t="str">
        <f ca="1">RESULTADOS!P49</f>
        <v/>
      </c>
      <c r="AM32" s="110" t="str">
        <f ca="1">RESULTADOS!Q49</f>
        <v/>
      </c>
      <c r="AN32" s="110" t="str">
        <f ca="1">RESULTADOS!R49</f>
        <v/>
      </c>
      <c r="AO32" s="110" t="str">
        <f ca="1">RESULTADOS!S49</f>
        <v/>
      </c>
      <c r="AP32" s="110" t="str">
        <f ca="1">RESULTADOS!T49</f>
        <v/>
      </c>
      <c r="AQ32" s="110" t="str">
        <f ca="1">RESULTADOS!U49</f>
        <v/>
      </c>
      <c r="AR32" s="110" t="str">
        <f ca="1">RESULTADOS!V49</f>
        <v/>
      </c>
      <c r="AS32" s="110" t="str">
        <f ca="1">RESULTADOS!W49</f>
        <v/>
      </c>
      <c r="AT32" s="110" t="str">
        <f ca="1">RESULTADOS!X49</f>
        <v/>
      </c>
      <c r="AU32" s="110" t="str">
        <f ca="1">RESULTADOS!Y49</f>
        <v/>
      </c>
      <c r="AV32" s="110" t="str">
        <f ca="1">RESULTADOS!Z49</f>
        <v/>
      </c>
      <c r="AW32" s="110" t="str">
        <f ca="1">RESULTADOS!AA49</f>
        <v/>
      </c>
      <c r="AX32" s="110" t="str">
        <f ca="1">RESULTADOS!AB49</f>
        <v/>
      </c>
      <c r="AY32" s="110" t="str">
        <f ca="1">RESULTADOS!AC49</f>
        <v/>
      </c>
      <c r="AZ32" s="110" t="str">
        <f ca="1">RESULTADOS!AD49</f>
        <v/>
      </c>
      <c r="BA32" s="110" t="str">
        <f ca="1">RESULTADOS!AE49</f>
        <v/>
      </c>
      <c r="BB32" s="110" t="str">
        <f ca="1">RESULTADOS!AF49</f>
        <v/>
      </c>
      <c r="BC32" s="110" t="str">
        <f ca="1">RESULTADOS!AG49</f>
        <v/>
      </c>
      <c r="BD32" s="110" t="str">
        <f ca="1">RESULTADOS!AH49</f>
        <v/>
      </c>
      <c r="BE32" s="110" t="str">
        <f ca="1">RESULTADOS!AI49</f>
        <v/>
      </c>
      <c r="BF32" s="110" t="str">
        <f ca="1">RESULTADOS!AJ49</f>
        <v/>
      </c>
      <c r="BG32" s="110" t="str">
        <f ca="1">RESULTADOS!AK49</f>
        <v/>
      </c>
      <c r="BH32" s="110" t="str">
        <f ca="1">RESULTADOS!AL49</f>
        <v/>
      </c>
      <c r="BI32" s="110" t="str">
        <f ca="1">RESULTADOS!AM49</f>
        <v/>
      </c>
      <c r="BJ32" s="110" t="str">
        <f ca="1">RESULTADOS!AN49</f>
        <v/>
      </c>
      <c r="BK32" s="110" t="str">
        <f ca="1">RESULTADOS!AO49</f>
        <v/>
      </c>
      <c r="BL32" s="110" t="str">
        <f ca="1">RESULTADOS!AP49</f>
        <v/>
      </c>
      <c r="BM32" s="110" t="str">
        <f ca="1">RESULTADOS!AQ49</f>
        <v/>
      </c>
      <c r="BN32" s="110" t="str">
        <f ca="1">RESULTADOS!AR49</f>
        <v/>
      </c>
      <c r="BO32" s="110" t="str">
        <f ca="1">RESULTADOS!AS49</f>
        <v/>
      </c>
      <c r="BP32" s="110" t="str">
        <f ca="1">RESULTADOS!AT49</f>
        <v/>
      </c>
      <c r="BQ32" s="110" t="str">
        <f ca="1">RESULTADOS!AU49</f>
        <v/>
      </c>
      <c r="BR32" s="110" t="str">
        <f ca="1">RESULTADOS!AV49</f>
        <v/>
      </c>
      <c r="BS32" s="110" t="str">
        <f ca="1">RESULTADOS!AW49</f>
        <v/>
      </c>
      <c r="BT32" s="110" t="str">
        <f ca="1">RESULTADOS!AX49</f>
        <v/>
      </c>
      <c r="BU32" s="110" t="str">
        <f ca="1">RESULTADOS!AY49</f>
        <v/>
      </c>
      <c r="BV32" s="110" t="str">
        <f ca="1">RESULTADOS!AZ49</f>
        <v/>
      </c>
      <c r="BW32" s="110" t="str">
        <f ca="1">RESULTADOS!BA49</f>
        <v/>
      </c>
      <c r="BX32" s="110" t="str">
        <f ca="1">RESULTADOS!BB49</f>
        <v/>
      </c>
      <c r="BY32" s="110" t="str">
        <f ca="1">RESULTADOS!BC49</f>
        <v/>
      </c>
      <c r="BZ32" s="110" t="str">
        <f ca="1">RESULTADOS!BD49</f>
        <v/>
      </c>
      <c r="CA32" s="110" t="str">
        <f ca="1">RESULTADOS!BE49</f>
        <v/>
      </c>
      <c r="CB32" s="110" t="str">
        <f ca="1">RESULTADOS!BF49</f>
        <v/>
      </c>
      <c r="CC32" s="110" t="str">
        <f ca="1">RESULTADOS!BG49</f>
        <v/>
      </c>
      <c r="CD32" s="110" t="str">
        <f ca="1">RESULTADOS!BH49</f>
        <v/>
      </c>
      <c r="CE32" s="110" t="str">
        <f ca="1">RESULTADOS!BI49</f>
        <v/>
      </c>
      <c r="CF32" s="110" t="str">
        <f ca="1">RESULTADOS!BJ49</f>
        <v/>
      </c>
      <c r="CG32" s="110" t="str">
        <f ca="1">RESULTADOS!BK49</f>
        <v/>
      </c>
      <c r="CH32" s="110" t="str">
        <f ca="1">RESULTADOS!BL49</f>
        <v/>
      </c>
      <c r="CI32" s="110" t="str">
        <f ca="1">RESULTADOS!BM49</f>
        <v/>
      </c>
      <c r="CJ32" s="110" t="str">
        <f ca="1">RESULTADOS!BN49</f>
        <v/>
      </c>
      <c r="CK32" s="110" t="str">
        <f ca="1">RESULTADOS!BO49</f>
        <v/>
      </c>
      <c r="CL32" s="110" t="str">
        <f ca="1">RESULTADOS!BP49</f>
        <v/>
      </c>
      <c r="CM32" s="110" t="str">
        <f ca="1">RESULTADOS!BQ49</f>
        <v/>
      </c>
      <c r="CN32" s="110" t="str">
        <f ca="1">RESULTADOS!BR49</f>
        <v/>
      </c>
      <c r="CO32" s="110" t="str">
        <f ca="1">RESULTADOS!BS49</f>
        <v/>
      </c>
      <c r="CP32" s="110" t="str">
        <f ca="1">RESULTADOS!BT49</f>
        <v/>
      </c>
      <c r="CQ32" s="110" t="str">
        <f ca="1">RESULTADOS!BU49</f>
        <v/>
      </c>
      <c r="CR32" s="110" t="str">
        <f ca="1">RESULTADOS!BV49</f>
        <v/>
      </c>
      <c r="CS32" s="110" t="str">
        <f ca="1">RESULTADOS!BW49</f>
        <v/>
      </c>
      <c r="CT32" s="110" t="str">
        <f ca="1">RESULTADOS!BX49</f>
        <v/>
      </c>
      <c r="CU32" s="110" t="str">
        <f ca="1">RESULTADOS!BY49</f>
        <v/>
      </c>
      <c r="CV32" s="110" t="str">
        <f ca="1">RESULTADOS!BZ49</f>
        <v/>
      </c>
      <c r="CW32" s="110" t="str">
        <f ca="1">RESULTADOS!CA49</f>
        <v/>
      </c>
      <c r="CX32" s="110" t="str">
        <f ca="1">RESULTADOS!CB49</f>
        <v/>
      </c>
      <c r="CY32" s="110" t="str">
        <f ca="1">RESULTADOS!CC49</f>
        <v/>
      </c>
      <c r="CZ32" s="110" t="str">
        <f ca="1">RESULTADOS!CD49</f>
        <v/>
      </c>
      <c r="DA32" s="110" t="str">
        <f ca="1">RESULTADOS!CE49</f>
        <v/>
      </c>
      <c r="DB32" s="110" t="str">
        <f ca="1">RESULTADOS!CF49</f>
        <v/>
      </c>
      <c r="DC32" s="110" t="str">
        <f ca="1">RESULTADOS!CG49</f>
        <v/>
      </c>
      <c r="DD32" s="110" t="str">
        <f ca="1">RESULTADOS!CH49</f>
        <v/>
      </c>
      <c r="DE32" s="110" t="str">
        <f ca="1">RESULTADOS!CI49</f>
        <v/>
      </c>
      <c r="DF32" s="110" t="str">
        <f ca="1">RESULTADOS!CJ49</f>
        <v/>
      </c>
      <c r="DG32" s="110" t="str">
        <f ca="1">RESULTADOS!CK49</f>
        <v/>
      </c>
      <c r="DH32" s="110" t="str">
        <f ca="1">RESULTADOS!CL49</f>
        <v/>
      </c>
      <c r="DI32" s="110" t="str">
        <f ca="1">RESULTADOS!CM49</f>
        <v/>
      </c>
      <c r="DJ32" s="110" t="str">
        <f ca="1">RESULTADOS!CN49</f>
        <v/>
      </c>
      <c r="DK32" s="110" t="str">
        <f ca="1">RESULTADOS!CO49</f>
        <v/>
      </c>
      <c r="DL32" s="110" t="str">
        <f ca="1">RESULTADOS!CP49</f>
        <v/>
      </c>
      <c r="DM32" s="110" t="str">
        <f ca="1">RESULTADOS!CQ49</f>
        <v/>
      </c>
      <c r="DN32" s="110" t="str">
        <f ca="1">RESULTADOS!CR49</f>
        <v/>
      </c>
      <c r="DO32" s="112" t="str">
        <f>RESULTADOS!B90</f>
        <v/>
      </c>
      <c r="DP32" s="112" t="str">
        <f>RESULTADOS!C90</f>
        <v/>
      </c>
      <c r="DQ32" s="112" t="str">
        <f t="shared" si="1"/>
        <v/>
      </c>
      <c r="DR32" s="112" t="str" cm="1">
        <f t="array" ref="DR32">IFERROR(INDEX('03.Muestra'!$E$8:$E$42,SMALL(IF("Documento no web"='03.Muestra'!$D$8:$D$42,ROW('03.Muestra'!$E$8:$E$42)-MIN(ROW('03.Muestra'!$D$8:$D$42))+1,""),ROW()-2)),"")</f>
        <v/>
      </c>
      <c r="DS32" s="112" t="str">
        <f>RESULTADOS!D90</f>
        <v/>
      </c>
      <c r="DT32" s="112" t="str" cm="1">
        <f t="array" ref="DT32">IFERROR(INDEX('03.Muestra'!$G$8:$G$42,SMALL(IF("Documento no web"='03.Muestra'!$D$8:$D$42,ROW('03.Muestra'!$G$8:$G$42)-MIN(ROW('03.Muestra'!$D$8:$D$42))+1,""),ROW()-2)),"")</f>
        <v/>
      </c>
      <c r="DU32" s="187" t="str" cm="1">
        <f t="array" ref="DU32">IFERROR(INDEX('03.Muestra'!$H$8:$H$42,SMALL(IF("Documento no web"='03.Muestra'!$D$8:$D$42,ROW('03.Muestra'!$H$8:$H$42)-MIN(ROW('03.Muestra'!$D$8:$D$42))+1,""),ROW()-2)),"")</f>
        <v/>
      </c>
      <c r="DV32" s="110" t="str">
        <f ca="1">RESULTADOS!E90</f>
        <v/>
      </c>
      <c r="DW32" s="110" t="str">
        <f ca="1">RESULTADOS!F90</f>
        <v/>
      </c>
      <c r="DX32" s="110" t="str">
        <f ca="1">RESULTADOS!G90</f>
        <v/>
      </c>
      <c r="DY32" s="110" t="str">
        <f ca="1">RESULTADOS!H90</f>
        <v/>
      </c>
      <c r="DZ32" s="110" t="str">
        <f ca="1">RESULTADOS!I90</f>
        <v/>
      </c>
      <c r="EA32" s="110" t="str">
        <f ca="1">RESULTADOS!J90</f>
        <v/>
      </c>
      <c r="EB32" s="110" t="str">
        <f ca="1">RESULTADOS!K90</f>
        <v/>
      </c>
      <c r="EC32" s="110" t="str">
        <f ca="1">RESULTADOS!L90</f>
        <v/>
      </c>
      <c r="ED32" s="110" t="str">
        <f ca="1">RESULTADOS!M90</f>
        <v/>
      </c>
      <c r="EE32" s="110" t="str">
        <f ca="1">RESULTADOS!N90</f>
        <v/>
      </c>
      <c r="EF32" s="110" t="str">
        <f ca="1">RESULTADOS!O90</f>
        <v/>
      </c>
      <c r="EG32" s="110" t="str">
        <f ca="1">RESULTADOS!P90</f>
        <v/>
      </c>
      <c r="EH32" s="110" t="str">
        <f ca="1">RESULTADOS!Q90</f>
        <v/>
      </c>
      <c r="EI32" s="110" t="str">
        <f ca="1">RESULTADOS!R90</f>
        <v/>
      </c>
      <c r="EJ32" s="110" t="str">
        <f ca="1">RESULTADOS!S90</f>
        <v/>
      </c>
      <c r="EK32" s="110" t="str">
        <f ca="1">RESULTADOS!T90</f>
        <v/>
      </c>
      <c r="EL32" s="110" t="str">
        <f ca="1">RESULTADOS!U90</f>
        <v/>
      </c>
      <c r="EM32" s="110" t="str">
        <f ca="1">RESULTADOS!V90</f>
        <v/>
      </c>
      <c r="EN32" s="110" t="str">
        <f ca="1">RESULTADOS!W90</f>
        <v/>
      </c>
      <c r="EO32" s="110" t="str">
        <f ca="1">RESULTADOS!X90</f>
        <v/>
      </c>
      <c r="EP32" s="110" t="str">
        <f ca="1">RESULTADOS!Y90</f>
        <v/>
      </c>
      <c r="EQ32" s="110" t="str">
        <f ca="1">RESULTADOS!Z90</f>
        <v/>
      </c>
      <c r="ER32" s="110" t="str">
        <f ca="1">RESULTADOS!AA90</f>
        <v/>
      </c>
      <c r="ES32" s="110" t="str">
        <f ca="1">RESULTADOS!AB90</f>
        <v/>
      </c>
      <c r="ET32" s="110" t="str">
        <f ca="1">RESULTADOS!AC90</f>
        <v/>
      </c>
      <c r="EU32" s="110" t="str">
        <f ca="1">RESULTADOS!AD90</f>
        <v/>
      </c>
      <c r="EV32" s="110" t="str">
        <f ca="1">RESULTADOS!AE90</f>
        <v/>
      </c>
      <c r="EW32" s="110" t="str">
        <f ca="1">RESULTADOS!AF90</f>
        <v/>
      </c>
      <c r="EX32" s="110" t="str">
        <f ca="1">RESULTADOS!AG90</f>
        <v/>
      </c>
      <c r="EY32" s="110" t="str">
        <f ca="1">RESULTADOS!AH90</f>
        <v/>
      </c>
      <c r="EZ32" s="110" t="str">
        <f ca="1">RESULTADOS!AI90</f>
        <v/>
      </c>
      <c r="FA32" s="110" t="str">
        <f ca="1">RESULTADOS!AJ90</f>
        <v/>
      </c>
      <c r="FB32" s="110" t="str">
        <f ca="1">RESULTADOS!AK90</f>
        <v/>
      </c>
      <c r="FC32" s="110" t="str">
        <f ca="1">RESULTADOS!AL90</f>
        <v/>
      </c>
      <c r="FD32" s="110" t="str">
        <f ca="1">RESULTADOS!AM90</f>
        <v/>
      </c>
      <c r="FE32" s="110" t="str">
        <f ca="1">RESULTADOS!AN90</f>
        <v/>
      </c>
      <c r="FF32" s="110" t="str">
        <f ca="1">RESULTADOS!AO90</f>
        <v/>
      </c>
      <c r="FG32" s="110" t="str">
        <f ca="1">RESULTADOS!AP90</f>
        <v/>
      </c>
      <c r="FH32" s="110" t="str">
        <f ca="1">RESULTADOS!AQ90</f>
        <v/>
      </c>
      <c r="FI32" s="110" t="str">
        <f ca="1">RESULTADOS!AR90</f>
        <v/>
      </c>
      <c r="FJ32" s="110" t="str">
        <f ca="1">RESULTADOS!AS90</f>
        <v/>
      </c>
      <c r="FK32" s="110" t="str">
        <f ca="1">RESULTADOS!AT90</f>
        <v/>
      </c>
      <c r="FL32" s="110" t="str">
        <f ca="1">RESULTADOS!AU90</f>
        <v/>
      </c>
      <c r="FM32" s="110" t="str">
        <f ca="1">RESULTADOS!AV90</f>
        <v/>
      </c>
      <c r="FN32" s="110" t="str">
        <f ca="1">RESULTADOS!AW90</f>
        <v/>
      </c>
    </row>
    <row r="33" spans="3:170" ht="13">
      <c r="C33" s="108"/>
      <c r="K33" s="117"/>
      <c r="T33" s="112" t="str">
        <f>RESULTADOS!B50</f>
        <v/>
      </c>
      <c r="U33" s="112" t="str">
        <f>RESULTADOS!C50</f>
        <v/>
      </c>
      <c r="V33" s="112" t="str">
        <f t="shared" si="0"/>
        <v/>
      </c>
      <c r="W33" s="112" t="str">
        <v/>
      </c>
      <c r="X33" s="112" t="str">
        <f>RESULTADOS!D50</f>
        <v/>
      </c>
      <c r="Y33" s="112" t="str">
        <v/>
      </c>
      <c r="Z33" s="187" t="str">
        <v/>
      </c>
      <c r="AA33" s="110" t="str">
        <f ca="1">RESULTADOS!E50</f>
        <v/>
      </c>
      <c r="AB33" s="110" t="str">
        <f ca="1">RESULTADOS!F50</f>
        <v/>
      </c>
      <c r="AC33" s="110" t="str">
        <f ca="1">RESULTADOS!G50</f>
        <v/>
      </c>
      <c r="AD33" s="110" t="str">
        <f ca="1">RESULTADOS!H50</f>
        <v/>
      </c>
      <c r="AE33" s="110" t="str">
        <f ca="1">RESULTADOS!I50</f>
        <v/>
      </c>
      <c r="AF33" s="110" t="str">
        <f ca="1">RESULTADOS!J50</f>
        <v/>
      </c>
      <c r="AG33" s="110" t="str">
        <f ca="1">RESULTADOS!K50</f>
        <v/>
      </c>
      <c r="AH33" s="110" t="str">
        <f ca="1">RESULTADOS!L50</f>
        <v/>
      </c>
      <c r="AI33" s="110" t="str">
        <f ca="1">RESULTADOS!M50</f>
        <v/>
      </c>
      <c r="AJ33" s="110" t="str">
        <f ca="1">RESULTADOS!N50</f>
        <v/>
      </c>
      <c r="AK33" s="110" t="str">
        <f ca="1">RESULTADOS!O50</f>
        <v/>
      </c>
      <c r="AL33" s="110" t="str">
        <f ca="1">RESULTADOS!P50</f>
        <v/>
      </c>
      <c r="AM33" s="110" t="str">
        <f ca="1">RESULTADOS!Q50</f>
        <v/>
      </c>
      <c r="AN33" s="110" t="str">
        <f ca="1">RESULTADOS!R50</f>
        <v/>
      </c>
      <c r="AO33" s="110" t="str">
        <f ca="1">RESULTADOS!S50</f>
        <v/>
      </c>
      <c r="AP33" s="110" t="str">
        <f ca="1">RESULTADOS!T50</f>
        <v/>
      </c>
      <c r="AQ33" s="110" t="str">
        <f ca="1">RESULTADOS!U50</f>
        <v/>
      </c>
      <c r="AR33" s="110" t="str">
        <f ca="1">RESULTADOS!V50</f>
        <v/>
      </c>
      <c r="AS33" s="110" t="str">
        <f ca="1">RESULTADOS!W50</f>
        <v/>
      </c>
      <c r="AT33" s="110" t="str">
        <f ca="1">RESULTADOS!X50</f>
        <v/>
      </c>
      <c r="AU33" s="110" t="str">
        <f ca="1">RESULTADOS!Y50</f>
        <v/>
      </c>
      <c r="AV33" s="110" t="str">
        <f ca="1">RESULTADOS!Z50</f>
        <v/>
      </c>
      <c r="AW33" s="110" t="str">
        <f ca="1">RESULTADOS!AA50</f>
        <v/>
      </c>
      <c r="AX33" s="110" t="str">
        <f ca="1">RESULTADOS!AB50</f>
        <v/>
      </c>
      <c r="AY33" s="110" t="str">
        <f ca="1">RESULTADOS!AC50</f>
        <v/>
      </c>
      <c r="AZ33" s="110" t="str">
        <f ca="1">RESULTADOS!AD50</f>
        <v/>
      </c>
      <c r="BA33" s="110" t="str">
        <f ca="1">RESULTADOS!AE50</f>
        <v/>
      </c>
      <c r="BB33" s="110" t="str">
        <f ca="1">RESULTADOS!AF50</f>
        <v/>
      </c>
      <c r="BC33" s="110" t="str">
        <f ca="1">RESULTADOS!AG50</f>
        <v/>
      </c>
      <c r="BD33" s="110" t="str">
        <f ca="1">RESULTADOS!AH50</f>
        <v/>
      </c>
      <c r="BE33" s="110" t="str">
        <f ca="1">RESULTADOS!AI50</f>
        <v/>
      </c>
      <c r="BF33" s="110" t="str">
        <f ca="1">RESULTADOS!AJ50</f>
        <v/>
      </c>
      <c r="BG33" s="110" t="str">
        <f ca="1">RESULTADOS!AK50</f>
        <v/>
      </c>
      <c r="BH33" s="110" t="str">
        <f ca="1">RESULTADOS!AL50</f>
        <v/>
      </c>
      <c r="BI33" s="110" t="str">
        <f ca="1">RESULTADOS!AM50</f>
        <v/>
      </c>
      <c r="BJ33" s="110" t="str">
        <f ca="1">RESULTADOS!AN50</f>
        <v/>
      </c>
      <c r="BK33" s="110" t="str">
        <f ca="1">RESULTADOS!AO50</f>
        <v/>
      </c>
      <c r="BL33" s="110" t="str">
        <f ca="1">RESULTADOS!AP50</f>
        <v/>
      </c>
      <c r="BM33" s="110" t="str">
        <f ca="1">RESULTADOS!AQ50</f>
        <v/>
      </c>
      <c r="BN33" s="110" t="str">
        <f ca="1">RESULTADOS!AR50</f>
        <v/>
      </c>
      <c r="BO33" s="110" t="str">
        <f ca="1">RESULTADOS!AS50</f>
        <v/>
      </c>
      <c r="BP33" s="110" t="str">
        <f ca="1">RESULTADOS!AT50</f>
        <v/>
      </c>
      <c r="BQ33" s="110" t="str">
        <f ca="1">RESULTADOS!AU50</f>
        <v/>
      </c>
      <c r="BR33" s="110" t="str">
        <f ca="1">RESULTADOS!AV50</f>
        <v/>
      </c>
      <c r="BS33" s="110" t="str">
        <f ca="1">RESULTADOS!AW50</f>
        <v/>
      </c>
      <c r="BT33" s="110" t="str">
        <f ca="1">RESULTADOS!AX50</f>
        <v/>
      </c>
      <c r="BU33" s="110" t="str">
        <f ca="1">RESULTADOS!AY50</f>
        <v/>
      </c>
      <c r="BV33" s="110" t="str">
        <f ca="1">RESULTADOS!AZ50</f>
        <v/>
      </c>
      <c r="BW33" s="110" t="str">
        <f ca="1">RESULTADOS!BA50</f>
        <v/>
      </c>
      <c r="BX33" s="110" t="str">
        <f ca="1">RESULTADOS!BB50</f>
        <v/>
      </c>
      <c r="BY33" s="110" t="str">
        <f ca="1">RESULTADOS!BC50</f>
        <v/>
      </c>
      <c r="BZ33" s="110" t="str">
        <f ca="1">RESULTADOS!BD50</f>
        <v/>
      </c>
      <c r="CA33" s="110" t="str">
        <f ca="1">RESULTADOS!BE50</f>
        <v/>
      </c>
      <c r="CB33" s="110" t="str">
        <f ca="1">RESULTADOS!BF50</f>
        <v/>
      </c>
      <c r="CC33" s="110" t="str">
        <f ca="1">RESULTADOS!BG50</f>
        <v/>
      </c>
      <c r="CD33" s="110" t="str">
        <f ca="1">RESULTADOS!BH50</f>
        <v/>
      </c>
      <c r="CE33" s="110" t="str">
        <f ca="1">RESULTADOS!BI50</f>
        <v/>
      </c>
      <c r="CF33" s="110" t="str">
        <f ca="1">RESULTADOS!BJ50</f>
        <v/>
      </c>
      <c r="CG33" s="110" t="str">
        <f ca="1">RESULTADOS!BK50</f>
        <v/>
      </c>
      <c r="CH33" s="110" t="str">
        <f ca="1">RESULTADOS!BL50</f>
        <v/>
      </c>
      <c r="CI33" s="110" t="str">
        <f ca="1">RESULTADOS!BM50</f>
        <v/>
      </c>
      <c r="CJ33" s="110" t="str">
        <f ca="1">RESULTADOS!BN50</f>
        <v/>
      </c>
      <c r="CK33" s="110" t="str">
        <f ca="1">RESULTADOS!BO50</f>
        <v/>
      </c>
      <c r="CL33" s="110" t="str">
        <f ca="1">RESULTADOS!BP50</f>
        <v/>
      </c>
      <c r="CM33" s="110" t="str">
        <f ca="1">RESULTADOS!BQ50</f>
        <v/>
      </c>
      <c r="CN33" s="110" t="str">
        <f ca="1">RESULTADOS!BR50</f>
        <v/>
      </c>
      <c r="CO33" s="110" t="str">
        <f ca="1">RESULTADOS!BS50</f>
        <v/>
      </c>
      <c r="CP33" s="110" t="str">
        <f ca="1">RESULTADOS!BT50</f>
        <v/>
      </c>
      <c r="CQ33" s="110" t="str">
        <f ca="1">RESULTADOS!BU50</f>
        <v/>
      </c>
      <c r="CR33" s="110" t="str">
        <f ca="1">RESULTADOS!BV50</f>
        <v/>
      </c>
      <c r="CS33" s="110" t="str">
        <f ca="1">RESULTADOS!BW50</f>
        <v/>
      </c>
      <c r="CT33" s="110" t="str">
        <f ca="1">RESULTADOS!BX50</f>
        <v/>
      </c>
      <c r="CU33" s="110" t="str">
        <f ca="1">RESULTADOS!BY50</f>
        <v/>
      </c>
      <c r="CV33" s="110" t="str">
        <f ca="1">RESULTADOS!BZ50</f>
        <v/>
      </c>
      <c r="CW33" s="110" t="str">
        <f ca="1">RESULTADOS!CA50</f>
        <v/>
      </c>
      <c r="CX33" s="110" t="str">
        <f ca="1">RESULTADOS!CB50</f>
        <v/>
      </c>
      <c r="CY33" s="110" t="str">
        <f ca="1">RESULTADOS!CC50</f>
        <v/>
      </c>
      <c r="CZ33" s="110" t="str">
        <f ca="1">RESULTADOS!CD50</f>
        <v/>
      </c>
      <c r="DA33" s="110" t="str">
        <f ca="1">RESULTADOS!CE50</f>
        <v/>
      </c>
      <c r="DB33" s="110" t="str">
        <f ca="1">RESULTADOS!CF50</f>
        <v/>
      </c>
      <c r="DC33" s="110" t="str">
        <f ca="1">RESULTADOS!CG50</f>
        <v/>
      </c>
      <c r="DD33" s="110" t="str">
        <f ca="1">RESULTADOS!CH50</f>
        <v/>
      </c>
      <c r="DE33" s="110" t="str">
        <f ca="1">RESULTADOS!CI50</f>
        <v/>
      </c>
      <c r="DF33" s="110" t="str">
        <f ca="1">RESULTADOS!CJ50</f>
        <v/>
      </c>
      <c r="DG33" s="110" t="str">
        <f ca="1">RESULTADOS!CK50</f>
        <v/>
      </c>
      <c r="DH33" s="110" t="str">
        <f ca="1">RESULTADOS!CL50</f>
        <v/>
      </c>
      <c r="DI33" s="110" t="str">
        <f ca="1">RESULTADOS!CM50</f>
        <v/>
      </c>
      <c r="DJ33" s="110" t="str">
        <f ca="1">RESULTADOS!CN50</f>
        <v/>
      </c>
      <c r="DK33" s="110" t="str">
        <f ca="1">RESULTADOS!CO50</f>
        <v/>
      </c>
      <c r="DL33" s="110" t="str">
        <f ca="1">RESULTADOS!CP50</f>
        <v/>
      </c>
      <c r="DM33" s="110" t="str">
        <f ca="1">RESULTADOS!CQ50</f>
        <v/>
      </c>
      <c r="DN33" s="110" t="str">
        <f ca="1">RESULTADOS!CR50</f>
        <v/>
      </c>
      <c r="DO33" s="112" t="str">
        <f>RESULTADOS!B91</f>
        <v/>
      </c>
      <c r="DP33" s="112" t="str">
        <f>RESULTADOS!C91</f>
        <v/>
      </c>
      <c r="DQ33" s="112" t="str">
        <f t="shared" si="1"/>
        <v/>
      </c>
      <c r="DR33" s="112" t="str" cm="1">
        <f t="array" ref="DR33">IFERROR(INDEX('03.Muestra'!$E$8:$E$42,SMALL(IF("Documento no web"='03.Muestra'!$D$8:$D$42,ROW('03.Muestra'!$E$8:$E$42)-MIN(ROW('03.Muestra'!$D$8:$D$42))+1,""),ROW()-2)),"")</f>
        <v/>
      </c>
      <c r="DS33" s="112" t="str">
        <f>RESULTADOS!D91</f>
        <v/>
      </c>
      <c r="DT33" s="112" t="str" cm="1">
        <f t="array" ref="DT33">IFERROR(INDEX('03.Muestra'!$G$8:$G$42,SMALL(IF("Documento no web"='03.Muestra'!$D$8:$D$42,ROW('03.Muestra'!$G$8:$G$42)-MIN(ROW('03.Muestra'!$D$8:$D$42))+1,""),ROW()-2)),"")</f>
        <v/>
      </c>
      <c r="DU33" s="187" t="str" cm="1">
        <f t="array" ref="DU33">IFERROR(INDEX('03.Muestra'!$H$8:$H$42,SMALL(IF("Documento no web"='03.Muestra'!$D$8:$D$42,ROW('03.Muestra'!$H$8:$H$42)-MIN(ROW('03.Muestra'!$D$8:$D$42))+1,""),ROW()-2)),"")</f>
        <v/>
      </c>
      <c r="DV33" s="110" t="str">
        <f ca="1">RESULTADOS!E91</f>
        <v/>
      </c>
      <c r="DW33" s="110" t="str">
        <f ca="1">RESULTADOS!F91</f>
        <v/>
      </c>
      <c r="DX33" s="110" t="str">
        <f ca="1">RESULTADOS!G91</f>
        <v/>
      </c>
      <c r="DY33" s="110" t="str">
        <f ca="1">RESULTADOS!H91</f>
        <v/>
      </c>
      <c r="DZ33" s="110" t="str">
        <f ca="1">RESULTADOS!I91</f>
        <v/>
      </c>
      <c r="EA33" s="110" t="str">
        <f ca="1">RESULTADOS!J91</f>
        <v/>
      </c>
      <c r="EB33" s="110" t="str">
        <f ca="1">RESULTADOS!K91</f>
        <v/>
      </c>
      <c r="EC33" s="110" t="str">
        <f ca="1">RESULTADOS!L91</f>
        <v/>
      </c>
      <c r="ED33" s="110" t="str">
        <f ca="1">RESULTADOS!M91</f>
        <v/>
      </c>
      <c r="EE33" s="110" t="str">
        <f ca="1">RESULTADOS!N91</f>
        <v/>
      </c>
      <c r="EF33" s="110" t="str">
        <f ca="1">RESULTADOS!O91</f>
        <v/>
      </c>
      <c r="EG33" s="110" t="str">
        <f ca="1">RESULTADOS!P91</f>
        <v/>
      </c>
      <c r="EH33" s="110" t="str">
        <f ca="1">RESULTADOS!Q91</f>
        <v/>
      </c>
      <c r="EI33" s="110" t="str">
        <f ca="1">RESULTADOS!R91</f>
        <v/>
      </c>
      <c r="EJ33" s="110" t="str">
        <f ca="1">RESULTADOS!S91</f>
        <v/>
      </c>
      <c r="EK33" s="110" t="str">
        <f ca="1">RESULTADOS!T91</f>
        <v/>
      </c>
      <c r="EL33" s="110" t="str">
        <f ca="1">RESULTADOS!U91</f>
        <v/>
      </c>
      <c r="EM33" s="110" t="str">
        <f ca="1">RESULTADOS!V91</f>
        <v/>
      </c>
      <c r="EN33" s="110" t="str">
        <f ca="1">RESULTADOS!W91</f>
        <v/>
      </c>
      <c r="EO33" s="110" t="str">
        <f ca="1">RESULTADOS!X91</f>
        <v/>
      </c>
      <c r="EP33" s="110" t="str">
        <f ca="1">RESULTADOS!Y91</f>
        <v/>
      </c>
      <c r="EQ33" s="110" t="str">
        <f ca="1">RESULTADOS!Z91</f>
        <v/>
      </c>
      <c r="ER33" s="110" t="str">
        <f ca="1">RESULTADOS!AA91</f>
        <v/>
      </c>
      <c r="ES33" s="110" t="str">
        <f ca="1">RESULTADOS!AB91</f>
        <v/>
      </c>
      <c r="ET33" s="110" t="str">
        <f ca="1">RESULTADOS!AC91</f>
        <v/>
      </c>
      <c r="EU33" s="110" t="str">
        <f ca="1">RESULTADOS!AD91</f>
        <v/>
      </c>
      <c r="EV33" s="110" t="str">
        <f ca="1">RESULTADOS!AE91</f>
        <v/>
      </c>
      <c r="EW33" s="110" t="str">
        <f ca="1">RESULTADOS!AF91</f>
        <v/>
      </c>
      <c r="EX33" s="110" t="str">
        <f ca="1">RESULTADOS!AG91</f>
        <v/>
      </c>
      <c r="EY33" s="110" t="str">
        <f ca="1">RESULTADOS!AH91</f>
        <v/>
      </c>
      <c r="EZ33" s="110" t="str">
        <f ca="1">RESULTADOS!AI91</f>
        <v/>
      </c>
      <c r="FA33" s="110" t="str">
        <f ca="1">RESULTADOS!AJ91</f>
        <v/>
      </c>
      <c r="FB33" s="110" t="str">
        <f ca="1">RESULTADOS!AK91</f>
        <v/>
      </c>
      <c r="FC33" s="110" t="str">
        <f ca="1">RESULTADOS!AL91</f>
        <v/>
      </c>
      <c r="FD33" s="110" t="str">
        <f ca="1">RESULTADOS!AM91</f>
        <v/>
      </c>
      <c r="FE33" s="110" t="str">
        <f ca="1">RESULTADOS!AN91</f>
        <v/>
      </c>
      <c r="FF33" s="110" t="str">
        <f ca="1">RESULTADOS!AO91</f>
        <v/>
      </c>
      <c r="FG33" s="110" t="str">
        <f ca="1">RESULTADOS!AP91</f>
        <v/>
      </c>
      <c r="FH33" s="110" t="str">
        <f ca="1">RESULTADOS!AQ91</f>
        <v/>
      </c>
      <c r="FI33" s="110" t="str">
        <f ca="1">RESULTADOS!AR91</f>
        <v/>
      </c>
      <c r="FJ33" s="110" t="str">
        <f ca="1">RESULTADOS!AS91</f>
        <v/>
      </c>
      <c r="FK33" s="110" t="str">
        <f ca="1">RESULTADOS!AT91</f>
        <v/>
      </c>
      <c r="FL33" s="110" t="str">
        <f ca="1">RESULTADOS!AU91</f>
        <v/>
      </c>
      <c r="FM33" s="110" t="str">
        <f ca="1">RESULTADOS!AV91</f>
        <v/>
      </c>
      <c r="FN33" s="110" t="str">
        <f ca="1">RESULTADOS!AW91</f>
        <v/>
      </c>
    </row>
    <row r="34" spans="3:170">
      <c r="T34" s="112" t="str">
        <f>RESULTADOS!B51</f>
        <v/>
      </c>
      <c r="U34" s="112" t="str">
        <f>RESULTADOS!C51</f>
        <v/>
      </c>
      <c r="V34" s="112" t="str">
        <f t="shared" si="0"/>
        <v/>
      </c>
      <c r="W34" s="112" t="str">
        <v/>
      </c>
      <c r="X34" s="112" t="str">
        <f>RESULTADOS!D51</f>
        <v/>
      </c>
      <c r="Y34" s="112" t="str">
        <v/>
      </c>
      <c r="Z34" s="187" t="str">
        <v/>
      </c>
      <c r="AA34" s="110" t="str">
        <f ca="1">RESULTADOS!E51</f>
        <v/>
      </c>
      <c r="AB34" s="110" t="str">
        <f ca="1">RESULTADOS!F51</f>
        <v/>
      </c>
      <c r="AC34" s="110" t="str">
        <f ca="1">RESULTADOS!G51</f>
        <v/>
      </c>
      <c r="AD34" s="110" t="str">
        <f ca="1">RESULTADOS!H51</f>
        <v/>
      </c>
      <c r="AE34" s="110" t="str">
        <f ca="1">RESULTADOS!I51</f>
        <v/>
      </c>
      <c r="AF34" s="110" t="str">
        <f ca="1">RESULTADOS!J51</f>
        <v/>
      </c>
      <c r="AG34" s="110" t="str">
        <f ca="1">RESULTADOS!K51</f>
        <v/>
      </c>
      <c r="AH34" s="110" t="str">
        <f ca="1">RESULTADOS!L51</f>
        <v/>
      </c>
      <c r="AI34" s="110" t="str">
        <f ca="1">RESULTADOS!M51</f>
        <v/>
      </c>
      <c r="AJ34" s="110" t="str">
        <f ca="1">RESULTADOS!N51</f>
        <v/>
      </c>
      <c r="AK34" s="110" t="str">
        <f ca="1">RESULTADOS!O51</f>
        <v/>
      </c>
      <c r="AL34" s="110" t="str">
        <f ca="1">RESULTADOS!P51</f>
        <v/>
      </c>
      <c r="AM34" s="110" t="str">
        <f ca="1">RESULTADOS!Q51</f>
        <v/>
      </c>
      <c r="AN34" s="110" t="str">
        <f ca="1">RESULTADOS!R51</f>
        <v/>
      </c>
      <c r="AO34" s="110" t="str">
        <f ca="1">RESULTADOS!S51</f>
        <v/>
      </c>
      <c r="AP34" s="110" t="str">
        <f ca="1">RESULTADOS!T51</f>
        <v/>
      </c>
      <c r="AQ34" s="110" t="str">
        <f ca="1">RESULTADOS!U51</f>
        <v/>
      </c>
      <c r="AR34" s="110" t="str">
        <f ca="1">RESULTADOS!V51</f>
        <v/>
      </c>
      <c r="AS34" s="110" t="str">
        <f ca="1">RESULTADOS!W51</f>
        <v/>
      </c>
      <c r="AT34" s="110" t="str">
        <f ca="1">RESULTADOS!X51</f>
        <v/>
      </c>
      <c r="AU34" s="110" t="str">
        <f ca="1">RESULTADOS!Y51</f>
        <v/>
      </c>
      <c r="AV34" s="110" t="str">
        <f ca="1">RESULTADOS!Z51</f>
        <v/>
      </c>
      <c r="AW34" s="110" t="str">
        <f ca="1">RESULTADOS!AA51</f>
        <v/>
      </c>
      <c r="AX34" s="110" t="str">
        <f ca="1">RESULTADOS!AB51</f>
        <v/>
      </c>
      <c r="AY34" s="110" t="str">
        <f ca="1">RESULTADOS!AC51</f>
        <v/>
      </c>
      <c r="AZ34" s="110" t="str">
        <f ca="1">RESULTADOS!AD51</f>
        <v/>
      </c>
      <c r="BA34" s="110" t="str">
        <f ca="1">RESULTADOS!AE51</f>
        <v/>
      </c>
      <c r="BB34" s="110" t="str">
        <f ca="1">RESULTADOS!AF51</f>
        <v/>
      </c>
      <c r="BC34" s="110" t="str">
        <f ca="1">RESULTADOS!AG51</f>
        <v/>
      </c>
      <c r="BD34" s="110" t="str">
        <f ca="1">RESULTADOS!AH51</f>
        <v/>
      </c>
      <c r="BE34" s="110" t="str">
        <f ca="1">RESULTADOS!AI51</f>
        <v/>
      </c>
      <c r="BF34" s="110" t="str">
        <f ca="1">RESULTADOS!AJ51</f>
        <v/>
      </c>
      <c r="BG34" s="110" t="str">
        <f ca="1">RESULTADOS!AK51</f>
        <v/>
      </c>
      <c r="BH34" s="110" t="str">
        <f ca="1">RESULTADOS!AL51</f>
        <v/>
      </c>
      <c r="BI34" s="110" t="str">
        <f ca="1">RESULTADOS!AM51</f>
        <v/>
      </c>
      <c r="BJ34" s="110" t="str">
        <f ca="1">RESULTADOS!AN51</f>
        <v/>
      </c>
      <c r="BK34" s="110" t="str">
        <f ca="1">RESULTADOS!AO51</f>
        <v/>
      </c>
      <c r="BL34" s="110" t="str">
        <f ca="1">RESULTADOS!AP51</f>
        <v/>
      </c>
      <c r="BM34" s="110" t="str">
        <f ca="1">RESULTADOS!AQ51</f>
        <v/>
      </c>
      <c r="BN34" s="110" t="str">
        <f ca="1">RESULTADOS!AR51</f>
        <v/>
      </c>
      <c r="BO34" s="110" t="str">
        <f ca="1">RESULTADOS!AS51</f>
        <v/>
      </c>
      <c r="BP34" s="110" t="str">
        <f ca="1">RESULTADOS!AT51</f>
        <v/>
      </c>
      <c r="BQ34" s="110" t="str">
        <f ca="1">RESULTADOS!AU51</f>
        <v/>
      </c>
      <c r="BR34" s="110" t="str">
        <f ca="1">RESULTADOS!AV51</f>
        <v/>
      </c>
      <c r="BS34" s="110" t="str">
        <f ca="1">RESULTADOS!AW51</f>
        <v/>
      </c>
      <c r="BT34" s="110" t="str">
        <f ca="1">RESULTADOS!AX51</f>
        <v/>
      </c>
      <c r="BU34" s="110" t="str">
        <f ca="1">RESULTADOS!AY51</f>
        <v/>
      </c>
      <c r="BV34" s="110" t="str">
        <f ca="1">RESULTADOS!AZ51</f>
        <v/>
      </c>
      <c r="BW34" s="110" t="str">
        <f ca="1">RESULTADOS!BA51</f>
        <v/>
      </c>
      <c r="BX34" s="110" t="str">
        <f ca="1">RESULTADOS!BB51</f>
        <v/>
      </c>
      <c r="BY34" s="110" t="str">
        <f ca="1">RESULTADOS!BC51</f>
        <v/>
      </c>
      <c r="BZ34" s="110" t="str">
        <f ca="1">RESULTADOS!BD51</f>
        <v/>
      </c>
      <c r="CA34" s="110" t="str">
        <f ca="1">RESULTADOS!BE51</f>
        <v/>
      </c>
      <c r="CB34" s="110" t="str">
        <f ca="1">RESULTADOS!BF51</f>
        <v/>
      </c>
      <c r="CC34" s="110" t="str">
        <f ca="1">RESULTADOS!BG51</f>
        <v/>
      </c>
      <c r="CD34" s="110" t="str">
        <f ca="1">RESULTADOS!BH51</f>
        <v/>
      </c>
      <c r="CE34" s="110" t="str">
        <f ca="1">RESULTADOS!BI51</f>
        <v/>
      </c>
      <c r="CF34" s="110" t="str">
        <f ca="1">RESULTADOS!BJ51</f>
        <v/>
      </c>
      <c r="CG34" s="110" t="str">
        <f ca="1">RESULTADOS!BK51</f>
        <v/>
      </c>
      <c r="CH34" s="110" t="str">
        <f ca="1">RESULTADOS!BL51</f>
        <v/>
      </c>
      <c r="CI34" s="110" t="str">
        <f ca="1">RESULTADOS!BM51</f>
        <v/>
      </c>
      <c r="CJ34" s="110" t="str">
        <f ca="1">RESULTADOS!BN51</f>
        <v/>
      </c>
      <c r="CK34" s="110" t="str">
        <f ca="1">RESULTADOS!BO51</f>
        <v/>
      </c>
      <c r="CL34" s="110" t="str">
        <f ca="1">RESULTADOS!BP51</f>
        <v/>
      </c>
      <c r="CM34" s="110" t="str">
        <f ca="1">RESULTADOS!BQ51</f>
        <v/>
      </c>
      <c r="CN34" s="110" t="str">
        <f ca="1">RESULTADOS!BR51</f>
        <v/>
      </c>
      <c r="CO34" s="110" t="str">
        <f ca="1">RESULTADOS!BS51</f>
        <v/>
      </c>
      <c r="CP34" s="110" t="str">
        <f ca="1">RESULTADOS!BT51</f>
        <v/>
      </c>
      <c r="CQ34" s="110" t="str">
        <f ca="1">RESULTADOS!BU51</f>
        <v/>
      </c>
      <c r="CR34" s="110" t="str">
        <f ca="1">RESULTADOS!BV51</f>
        <v/>
      </c>
      <c r="CS34" s="110" t="str">
        <f ca="1">RESULTADOS!BW51</f>
        <v/>
      </c>
      <c r="CT34" s="110" t="str">
        <f ca="1">RESULTADOS!BX51</f>
        <v/>
      </c>
      <c r="CU34" s="110" t="str">
        <f ca="1">RESULTADOS!BY51</f>
        <v/>
      </c>
      <c r="CV34" s="110" t="str">
        <f ca="1">RESULTADOS!BZ51</f>
        <v/>
      </c>
      <c r="CW34" s="110" t="str">
        <f ca="1">RESULTADOS!CA51</f>
        <v/>
      </c>
      <c r="CX34" s="110" t="str">
        <f ca="1">RESULTADOS!CB51</f>
        <v/>
      </c>
      <c r="CY34" s="110" t="str">
        <f ca="1">RESULTADOS!CC51</f>
        <v/>
      </c>
      <c r="CZ34" s="110" t="str">
        <f ca="1">RESULTADOS!CD51</f>
        <v/>
      </c>
      <c r="DA34" s="110" t="str">
        <f ca="1">RESULTADOS!CE51</f>
        <v/>
      </c>
      <c r="DB34" s="110" t="str">
        <f ca="1">RESULTADOS!CF51</f>
        <v/>
      </c>
      <c r="DC34" s="110" t="str">
        <f ca="1">RESULTADOS!CG51</f>
        <v/>
      </c>
      <c r="DD34" s="110" t="str">
        <f ca="1">RESULTADOS!CH51</f>
        <v/>
      </c>
      <c r="DE34" s="110" t="str">
        <f ca="1">RESULTADOS!CI51</f>
        <v/>
      </c>
      <c r="DF34" s="110" t="str">
        <f ca="1">RESULTADOS!CJ51</f>
        <v/>
      </c>
      <c r="DG34" s="110" t="str">
        <f ca="1">RESULTADOS!CK51</f>
        <v/>
      </c>
      <c r="DH34" s="110" t="str">
        <f ca="1">RESULTADOS!CL51</f>
        <v/>
      </c>
      <c r="DI34" s="110" t="str">
        <f ca="1">RESULTADOS!CM51</f>
        <v/>
      </c>
      <c r="DJ34" s="110" t="str">
        <f ca="1">RESULTADOS!CN51</f>
        <v/>
      </c>
      <c r="DK34" s="110" t="str">
        <f ca="1">RESULTADOS!CO51</f>
        <v/>
      </c>
      <c r="DL34" s="110" t="str">
        <f ca="1">RESULTADOS!CP51</f>
        <v/>
      </c>
      <c r="DM34" s="110" t="str">
        <f ca="1">RESULTADOS!CQ51</f>
        <v/>
      </c>
      <c r="DN34" s="110" t="str">
        <f ca="1">RESULTADOS!CR51</f>
        <v/>
      </c>
      <c r="DO34" s="112" t="str">
        <f>RESULTADOS!B92</f>
        <v/>
      </c>
      <c r="DP34" s="112" t="str">
        <f>RESULTADOS!C92</f>
        <v/>
      </c>
      <c r="DQ34" s="112" t="str">
        <f t="shared" si="1"/>
        <v/>
      </c>
      <c r="DR34" s="112" t="str" cm="1">
        <f t="array" ref="DR34">IFERROR(INDEX('03.Muestra'!$E$8:$E$42,SMALL(IF("Documento no web"='03.Muestra'!$D$8:$D$42,ROW('03.Muestra'!$E$8:$E$42)-MIN(ROW('03.Muestra'!$D$8:$D$42))+1,""),ROW()-2)),"")</f>
        <v/>
      </c>
      <c r="DS34" s="112" t="str">
        <f>RESULTADOS!D92</f>
        <v/>
      </c>
      <c r="DT34" s="112" t="str" cm="1">
        <f t="array" ref="DT34">IFERROR(INDEX('03.Muestra'!$G$8:$G$42,SMALL(IF("Documento no web"='03.Muestra'!$D$8:$D$42,ROW('03.Muestra'!$G$8:$G$42)-MIN(ROW('03.Muestra'!$D$8:$D$42))+1,""),ROW()-2)),"")</f>
        <v/>
      </c>
      <c r="DU34" s="187" t="str" cm="1">
        <f t="array" ref="DU34">IFERROR(INDEX('03.Muestra'!$H$8:$H$42,SMALL(IF("Documento no web"='03.Muestra'!$D$8:$D$42,ROW('03.Muestra'!$H$8:$H$42)-MIN(ROW('03.Muestra'!$D$8:$D$42))+1,""),ROW()-2)),"")</f>
        <v/>
      </c>
      <c r="DV34" s="110" t="str">
        <f ca="1">RESULTADOS!E92</f>
        <v/>
      </c>
      <c r="DW34" s="110" t="str">
        <f ca="1">RESULTADOS!F92</f>
        <v/>
      </c>
      <c r="DX34" s="110" t="str">
        <f ca="1">RESULTADOS!G92</f>
        <v/>
      </c>
      <c r="DY34" s="110" t="str">
        <f ca="1">RESULTADOS!H92</f>
        <v/>
      </c>
      <c r="DZ34" s="110" t="str">
        <f ca="1">RESULTADOS!I92</f>
        <v/>
      </c>
      <c r="EA34" s="110" t="str">
        <f ca="1">RESULTADOS!J92</f>
        <v/>
      </c>
      <c r="EB34" s="110" t="str">
        <f ca="1">RESULTADOS!K92</f>
        <v/>
      </c>
      <c r="EC34" s="110" t="str">
        <f ca="1">RESULTADOS!L92</f>
        <v/>
      </c>
      <c r="ED34" s="110" t="str">
        <f ca="1">RESULTADOS!M92</f>
        <v/>
      </c>
      <c r="EE34" s="110" t="str">
        <f ca="1">RESULTADOS!N92</f>
        <v/>
      </c>
      <c r="EF34" s="110" t="str">
        <f ca="1">RESULTADOS!O92</f>
        <v/>
      </c>
      <c r="EG34" s="110" t="str">
        <f ca="1">RESULTADOS!P92</f>
        <v/>
      </c>
      <c r="EH34" s="110" t="str">
        <f ca="1">RESULTADOS!Q92</f>
        <v/>
      </c>
      <c r="EI34" s="110" t="str">
        <f ca="1">RESULTADOS!R92</f>
        <v/>
      </c>
      <c r="EJ34" s="110" t="str">
        <f ca="1">RESULTADOS!S92</f>
        <v/>
      </c>
      <c r="EK34" s="110" t="str">
        <f ca="1">RESULTADOS!T92</f>
        <v/>
      </c>
      <c r="EL34" s="110" t="str">
        <f ca="1">RESULTADOS!U92</f>
        <v/>
      </c>
      <c r="EM34" s="110" t="str">
        <f ca="1">RESULTADOS!V92</f>
        <v/>
      </c>
      <c r="EN34" s="110" t="str">
        <f ca="1">RESULTADOS!W92</f>
        <v/>
      </c>
      <c r="EO34" s="110" t="str">
        <f ca="1">RESULTADOS!X92</f>
        <v/>
      </c>
      <c r="EP34" s="110" t="str">
        <f ca="1">RESULTADOS!Y92</f>
        <v/>
      </c>
      <c r="EQ34" s="110" t="str">
        <f ca="1">RESULTADOS!Z92</f>
        <v/>
      </c>
      <c r="ER34" s="110" t="str">
        <f ca="1">RESULTADOS!AA92</f>
        <v/>
      </c>
      <c r="ES34" s="110" t="str">
        <f ca="1">RESULTADOS!AB92</f>
        <v/>
      </c>
      <c r="ET34" s="110" t="str">
        <f ca="1">RESULTADOS!AC92</f>
        <v/>
      </c>
      <c r="EU34" s="110" t="str">
        <f ca="1">RESULTADOS!AD92</f>
        <v/>
      </c>
      <c r="EV34" s="110" t="str">
        <f ca="1">RESULTADOS!AE92</f>
        <v/>
      </c>
      <c r="EW34" s="110" t="str">
        <f ca="1">RESULTADOS!AF92</f>
        <v/>
      </c>
      <c r="EX34" s="110" t="str">
        <f ca="1">RESULTADOS!AG92</f>
        <v/>
      </c>
      <c r="EY34" s="110" t="str">
        <f ca="1">RESULTADOS!AH92</f>
        <v/>
      </c>
      <c r="EZ34" s="110" t="str">
        <f ca="1">RESULTADOS!AI92</f>
        <v/>
      </c>
      <c r="FA34" s="110" t="str">
        <f ca="1">RESULTADOS!AJ92</f>
        <v/>
      </c>
      <c r="FB34" s="110" t="str">
        <f ca="1">RESULTADOS!AK92</f>
        <v/>
      </c>
      <c r="FC34" s="110" t="str">
        <f ca="1">RESULTADOS!AL92</f>
        <v/>
      </c>
      <c r="FD34" s="110" t="str">
        <f ca="1">RESULTADOS!AM92</f>
        <v/>
      </c>
      <c r="FE34" s="110" t="str">
        <f ca="1">RESULTADOS!AN92</f>
        <v/>
      </c>
      <c r="FF34" s="110" t="str">
        <f ca="1">RESULTADOS!AO92</f>
        <v/>
      </c>
      <c r="FG34" s="110" t="str">
        <f ca="1">RESULTADOS!AP92</f>
        <v/>
      </c>
      <c r="FH34" s="110" t="str">
        <f ca="1">RESULTADOS!AQ92</f>
        <v/>
      </c>
      <c r="FI34" s="110" t="str">
        <f ca="1">RESULTADOS!AR92</f>
        <v/>
      </c>
      <c r="FJ34" s="110" t="str">
        <f ca="1">RESULTADOS!AS92</f>
        <v/>
      </c>
      <c r="FK34" s="110" t="str">
        <f ca="1">RESULTADOS!AT92</f>
        <v/>
      </c>
      <c r="FL34" s="110" t="str">
        <f ca="1">RESULTADOS!AU92</f>
        <v/>
      </c>
      <c r="FM34" s="110" t="str">
        <f ca="1">RESULTADOS!AV92</f>
        <v/>
      </c>
      <c r="FN34" s="110" t="str">
        <f ca="1">RESULTADOS!AW92</f>
        <v/>
      </c>
    </row>
    <row r="35" spans="3:170">
      <c r="T35" s="112" t="str">
        <f>RESULTADOS!B52</f>
        <v/>
      </c>
      <c r="U35" s="112" t="str">
        <f>RESULTADOS!C52</f>
        <v/>
      </c>
      <c r="V35" s="112" t="str">
        <f t="shared" si="0"/>
        <v/>
      </c>
      <c r="W35" s="112" t="str">
        <v/>
      </c>
      <c r="X35" s="112" t="str">
        <f>RESULTADOS!D52</f>
        <v/>
      </c>
      <c r="Y35" s="112" t="str">
        <v/>
      </c>
      <c r="Z35" s="187" t="str">
        <v/>
      </c>
      <c r="AA35" s="110" t="str">
        <f ca="1">RESULTADOS!E52</f>
        <v/>
      </c>
      <c r="AB35" s="110" t="str">
        <f ca="1">RESULTADOS!F52</f>
        <v/>
      </c>
      <c r="AC35" s="110" t="str">
        <f ca="1">RESULTADOS!G52</f>
        <v/>
      </c>
      <c r="AD35" s="110" t="str">
        <f ca="1">RESULTADOS!H52</f>
        <v/>
      </c>
      <c r="AE35" s="110" t="str">
        <f ca="1">RESULTADOS!I52</f>
        <v/>
      </c>
      <c r="AF35" s="110" t="str">
        <f ca="1">RESULTADOS!J52</f>
        <v/>
      </c>
      <c r="AG35" s="110" t="str">
        <f ca="1">RESULTADOS!K52</f>
        <v/>
      </c>
      <c r="AH35" s="110" t="str">
        <f ca="1">RESULTADOS!L52</f>
        <v/>
      </c>
      <c r="AI35" s="110" t="str">
        <f ca="1">RESULTADOS!M52</f>
        <v/>
      </c>
      <c r="AJ35" s="110" t="str">
        <f ca="1">RESULTADOS!N52</f>
        <v/>
      </c>
      <c r="AK35" s="110" t="str">
        <f ca="1">RESULTADOS!O52</f>
        <v/>
      </c>
      <c r="AL35" s="110" t="str">
        <f ca="1">RESULTADOS!P52</f>
        <v/>
      </c>
      <c r="AM35" s="110" t="str">
        <f ca="1">RESULTADOS!Q52</f>
        <v/>
      </c>
      <c r="AN35" s="110" t="str">
        <f ca="1">RESULTADOS!R52</f>
        <v/>
      </c>
      <c r="AO35" s="110" t="str">
        <f ca="1">RESULTADOS!S52</f>
        <v/>
      </c>
      <c r="AP35" s="110" t="str">
        <f ca="1">RESULTADOS!T52</f>
        <v/>
      </c>
      <c r="AQ35" s="110" t="str">
        <f ca="1">RESULTADOS!U52</f>
        <v/>
      </c>
      <c r="AR35" s="110" t="str">
        <f ca="1">RESULTADOS!V52</f>
        <v/>
      </c>
      <c r="AS35" s="110" t="str">
        <f ca="1">RESULTADOS!W52</f>
        <v/>
      </c>
      <c r="AT35" s="110" t="str">
        <f ca="1">RESULTADOS!X52</f>
        <v/>
      </c>
      <c r="AU35" s="110" t="str">
        <f ca="1">RESULTADOS!Y52</f>
        <v/>
      </c>
      <c r="AV35" s="110" t="str">
        <f ca="1">RESULTADOS!Z52</f>
        <v/>
      </c>
      <c r="AW35" s="110" t="str">
        <f ca="1">RESULTADOS!AA52</f>
        <v/>
      </c>
      <c r="AX35" s="110" t="str">
        <f ca="1">RESULTADOS!AB52</f>
        <v/>
      </c>
      <c r="AY35" s="110" t="str">
        <f ca="1">RESULTADOS!AC52</f>
        <v/>
      </c>
      <c r="AZ35" s="110" t="str">
        <f ca="1">RESULTADOS!AD52</f>
        <v/>
      </c>
      <c r="BA35" s="110" t="str">
        <f ca="1">RESULTADOS!AE52</f>
        <v/>
      </c>
      <c r="BB35" s="110" t="str">
        <f ca="1">RESULTADOS!AF52</f>
        <v/>
      </c>
      <c r="BC35" s="110" t="str">
        <f ca="1">RESULTADOS!AG52</f>
        <v/>
      </c>
      <c r="BD35" s="110" t="str">
        <f ca="1">RESULTADOS!AH52</f>
        <v/>
      </c>
      <c r="BE35" s="110" t="str">
        <f ca="1">RESULTADOS!AI52</f>
        <v/>
      </c>
      <c r="BF35" s="110" t="str">
        <f ca="1">RESULTADOS!AJ52</f>
        <v/>
      </c>
      <c r="BG35" s="110" t="str">
        <f ca="1">RESULTADOS!AK52</f>
        <v/>
      </c>
      <c r="BH35" s="110" t="str">
        <f ca="1">RESULTADOS!AL52</f>
        <v/>
      </c>
      <c r="BI35" s="110" t="str">
        <f ca="1">RESULTADOS!AM52</f>
        <v/>
      </c>
      <c r="BJ35" s="110" t="str">
        <f ca="1">RESULTADOS!AN52</f>
        <v/>
      </c>
      <c r="BK35" s="110" t="str">
        <f ca="1">RESULTADOS!AO52</f>
        <v/>
      </c>
      <c r="BL35" s="110" t="str">
        <f ca="1">RESULTADOS!AP52</f>
        <v/>
      </c>
      <c r="BM35" s="110" t="str">
        <f ca="1">RESULTADOS!AQ52</f>
        <v/>
      </c>
      <c r="BN35" s="110" t="str">
        <f ca="1">RESULTADOS!AR52</f>
        <v/>
      </c>
      <c r="BO35" s="110" t="str">
        <f ca="1">RESULTADOS!AS52</f>
        <v/>
      </c>
      <c r="BP35" s="110" t="str">
        <f ca="1">RESULTADOS!AT52</f>
        <v/>
      </c>
      <c r="BQ35" s="110" t="str">
        <f ca="1">RESULTADOS!AU52</f>
        <v/>
      </c>
      <c r="BR35" s="110" t="str">
        <f ca="1">RESULTADOS!AV52</f>
        <v/>
      </c>
      <c r="BS35" s="110" t="str">
        <f ca="1">RESULTADOS!AW52</f>
        <v/>
      </c>
      <c r="BT35" s="110" t="str">
        <f ca="1">RESULTADOS!AX52</f>
        <v/>
      </c>
      <c r="BU35" s="110" t="str">
        <f ca="1">RESULTADOS!AY52</f>
        <v/>
      </c>
      <c r="BV35" s="110" t="str">
        <f ca="1">RESULTADOS!AZ52</f>
        <v/>
      </c>
      <c r="BW35" s="110" t="str">
        <f ca="1">RESULTADOS!BA52</f>
        <v/>
      </c>
      <c r="BX35" s="110" t="str">
        <f ca="1">RESULTADOS!BB52</f>
        <v/>
      </c>
      <c r="BY35" s="110" t="str">
        <f ca="1">RESULTADOS!BC52</f>
        <v/>
      </c>
      <c r="BZ35" s="110" t="str">
        <f ca="1">RESULTADOS!BD52</f>
        <v/>
      </c>
      <c r="CA35" s="110" t="str">
        <f ca="1">RESULTADOS!BE52</f>
        <v/>
      </c>
      <c r="CB35" s="110" t="str">
        <f ca="1">RESULTADOS!BF52</f>
        <v/>
      </c>
      <c r="CC35" s="110" t="str">
        <f ca="1">RESULTADOS!BG52</f>
        <v/>
      </c>
      <c r="CD35" s="110" t="str">
        <f ca="1">RESULTADOS!BH52</f>
        <v/>
      </c>
      <c r="CE35" s="110" t="str">
        <f ca="1">RESULTADOS!BI52</f>
        <v/>
      </c>
      <c r="CF35" s="110" t="str">
        <f ca="1">RESULTADOS!BJ52</f>
        <v/>
      </c>
      <c r="CG35" s="110" t="str">
        <f ca="1">RESULTADOS!BK52</f>
        <v/>
      </c>
      <c r="CH35" s="110" t="str">
        <f ca="1">RESULTADOS!BL52</f>
        <v/>
      </c>
      <c r="CI35" s="110" t="str">
        <f ca="1">RESULTADOS!BM52</f>
        <v/>
      </c>
      <c r="CJ35" s="110" t="str">
        <f ca="1">RESULTADOS!BN52</f>
        <v/>
      </c>
      <c r="CK35" s="110" t="str">
        <f ca="1">RESULTADOS!BO52</f>
        <v/>
      </c>
      <c r="CL35" s="110" t="str">
        <f ca="1">RESULTADOS!BP52</f>
        <v/>
      </c>
      <c r="CM35" s="110" t="str">
        <f ca="1">RESULTADOS!BQ52</f>
        <v/>
      </c>
      <c r="CN35" s="110" t="str">
        <f ca="1">RESULTADOS!BR52</f>
        <v/>
      </c>
      <c r="CO35" s="110" t="str">
        <f ca="1">RESULTADOS!BS52</f>
        <v/>
      </c>
      <c r="CP35" s="110" t="str">
        <f ca="1">RESULTADOS!BT52</f>
        <v/>
      </c>
      <c r="CQ35" s="110" t="str">
        <f ca="1">RESULTADOS!BU52</f>
        <v/>
      </c>
      <c r="CR35" s="110" t="str">
        <f ca="1">RESULTADOS!BV52</f>
        <v/>
      </c>
      <c r="CS35" s="110" t="str">
        <f ca="1">RESULTADOS!BW52</f>
        <v/>
      </c>
      <c r="CT35" s="110" t="str">
        <f ca="1">RESULTADOS!BX52</f>
        <v/>
      </c>
      <c r="CU35" s="110" t="str">
        <f ca="1">RESULTADOS!BY52</f>
        <v/>
      </c>
      <c r="CV35" s="110" t="str">
        <f ca="1">RESULTADOS!BZ52</f>
        <v/>
      </c>
      <c r="CW35" s="110" t="str">
        <f ca="1">RESULTADOS!CA52</f>
        <v/>
      </c>
      <c r="CX35" s="110" t="str">
        <f ca="1">RESULTADOS!CB52</f>
        <v/>
      </c>
      <c r="CY35" s="110" t="str">
        <f ca="1">RESULTADOS!CC52</f>
        <v/>
      </c>
      <c r="CZ35" s="110" t="str">
        <f ca="1">RESULTADOS!CD52</f>
        <v/>
      </c>
      <c r="DA35" s="110" t="str">
        <f ca="1">RESULTADOS!CE52</f>
        <v/>
      </c>
      <c r="DB35" s="110" t="str">
        <f ca="1">RESULTADOS!CF52</f>
        <v/>
      </c>
      <c r="DC35" s="110" t="str">
        <f ca="1">RESULTADOS!CG52</f>
        <v/>
      </c>
      <c r="DD35" s="110" t="str">
        <f ca="1">RESULTADOS!CH52</f>
        <v/>
      </c>
      <c r="DE35" s="110" t="str">
        <f ca="1">RESULTADOS!CI52</f>
        <v/>
      </c>
      <c r="DF35" s="110" t="str">
        <f ca="1">RESULTADOS!CJ52</f>
        <v/>
      </c>
      <c r="DG35" s="110" t="str">
        <f ca="1">RESULTADOS!CK52</f>
        <v/>
      </c>
      <c r="DH35" s="110" t="str">
        <f ca="1">RESULTADOS!CL52</f>
        <v/>
      </c>
      <c r="DI35" s="110" t="str">
        <f ca="1">RESULTADOS!CM52</f>
        <v/>
      </c>
      <c r="DJ35" s="110" t="str">
        <f ca="1">RESULTADOS!CN52</f>
        <v/>
      </c>
      <c r="DK35" s="110" t="str">
        <f ca="1">RESULTADOS!CO52</f>
        <v/>
      </c>
      <c r="DL35" s="110" t="str">
        <f ca="1">RESULTADOS!CP52</f>
        <v/>
      </c>
      <c r="DM35" s="110" t="str">
        <f ca="1">RESULTADOS!CQ52</f>
        <v/>
      </c>
      <c r="DN35" s="110" t="str">
        <f ca="1">RESULTADOS!CR52</f>
        <v/>
      </c>
      <c r="DO35" s="112" t="str">
        <f>RESULTADOS!B93</f>
        <v/>
      </c>
      <c r="DP35" s="112" t="str">
        <f>RESULTADOS!C93</f>
        <v/>
      </c>
      <c r="DQ35" s="112" t="str">
        <f t="shared" si="1"/>
        <v/>
      </c>
      <c r="DR35" s="112" t="str" cm="1">
        <f t="array" ref="DR35">IFERROR(INDEX('03.Muestra'!$E$8:$E$42,SMALL(IF("Documento no web"='03.Muestra'!$D$8:$D$42,ROW('03.Muestra'!$E$8:$E$42)-MIN(ROW('03.Muestra'!$D$8:$D$42))+1,""),ROW()-2)),"")</f>
        <v/>
      </c>
      <c r="DS35" s="112" t="str">
        <f>RESULTADOS!D93</f>
        <v/>
      </c>
      <c r="DT35" s="112" t="str" cm="1">
        <f t="array" ref="DT35">IFERROR(INDEX('03.Muestra'!$G$8:$G$42,SMALL(IF("Documento no web"='03.Muestra'!$D$8:$D$42,ROW('03.Muestra'!$G$8:$G$42)-MIN(ROW('03.Muestra'!$D$8:$D$42))+1,""),ROW()-2)),"")</f>
        <v/>
      </c>
      <c r="DU35" s="187" t="str" cm="1">
        <f t="array" ref="DU35">IFERROR(INDEX('03.Muestra'!$H$8:$H$42,SMALL(IF("Documento no web"='03.Muestra'!$D$8:$D$42,ROW('03.Muestra'!$H$8:$H$42)-MIN(ROW('03.Muestra'!$D$8:$D$42))+1,""),ROW()-2)),"")</f>
        <v/>
      </c>
      <c r="DV35" s="110" t="str">
        <f ca="1">RESULTADOS!E93</f>
        <v/>
      </c>
      <c r="DW35" s="110" t="str">
        <f ca="1">RESULTADOS!F93</f>
        <v/>
      </c>
      <c r="DX35" s="110" t="str">
        <f ca="1">RESULTADOS!G93</f>
        <v/>
      </c>
      <c r="DY35" s="110" t="str">
        <f ca="1">RESULTADOS!H93</f>
        <v/>
      </c>
      <c r="DZ35" s="110" t="str">
        <f ca="1">RESULTADOS!I93</f>
        <v/>
      </c>
      <c r="EA35" s="110" t="str">
        <f ca="1">RESULTADOS!J93</f>
        <v/>
      </c>
      <c r="EB35" s="110" t="str">
        <f ca="1">RESULTADOS!K93</f>
        <v/>
      </c>
      <c r="EC35" s="110" t="str">
        <f ca="1">RESULTADOS!L93</f>
        <v/>
      </c>
      <c r="ED35" s="110" t="str">
        <f ca="1">RESULTADOS!M93</f>
        <v/>
      </c>
      <c r="EE35" s="110" t="str">
        <f ca="1">RESULTADOS!N93</f>
        <v/>
      </c>
      <c r="EF35" s="110" t="str">
        <f ca="1">RESULTADOS!O93</f>
        <v/>
      </c>
      <c r="EG35" s="110" t="str">
        <f ca="1">RESULTADOS!P93</f>
        <v/>
      </c>
      <c r="EH35" s="110" t="str">
        <f ca="1">RESULTADOS!Q93</f>
        <v/>
      </c>
      <c r="EI35" s="110" t="str">
        <f ca="1">RESULTADOS!R93</f>
        <v/>
      </c>
      <c r="EJ35" s="110" t="str">
        <f ca="1">RESULTADOS!S93</f>
        <v/>
      </c>
      <c r="EK35" s="110" t="str">
        <f ca="1">RESULTADOS!T93</f>
        <v/>
      </c>
      <c r="EL35" s="110" t="str">
        <f ca="1">RESULTADOS!U93</f>
        <v/>
      </c>
      <c r="EM35" s="110" t="str">
        <f ca="1">RESULTADOS!V93</f>
        <v/>
      </c>
      <c r="EN35" s="110" t="str">
        <f ca="1">RESULTADOS!W93</f>
        <v/>
      </c>
      <c r="EO35" s="110" t="str">
        <f ca="1">RESULTADOS!X93</f>
        <v/>
      </c>
      <c r="EP35" s="110" t="str">
        <f ca="1">RESULTADOS!Y93</f>
        <v/>
      </c>
      <c r="EQ35" s="110" t="str">
        <f ca="1">RESULTADOS!Z93</f>
        <v/>
      </c>
      <c r="ER35" s="110" t="str">
        <f ca="1">RESULTADOS!AA93</f>
        <v/>
      </c>
      <c r="ES35" s="110" t="str">
        <f ca="1">RESULTADOS!AB93</f>
        <v/>
      </c>
      <c r="ET35" s="110" t="str">
        <f ca="1">RESULTADOS!AC93</f>
        <v/>
      </c>
      <c r="EU35" s="110" t="str">
        <f ca="1">RESULTADOS!AD93</f>
        <v/>
      </c>
      <c r="EV35" s="110" t="str">
        <f ca="1">RESULTADOS!AE93</f>
        <v/>
      </c>
      <c r="EW35" s="110" t="str">
        <f ca="1">RESULTADOS!AF93</f>
        <v/>
      </c>
      <c r="EX35" s="110" t="str">
        <f ca="1">RESULTADOS!AG93</f>
        <v/>
      </c>
      <c r="EY35" s="110" t="str">
        <f ca="1">RESULTADOS!AH93</f>
        <v/>
      </c>
      <c r="EZ35" s="110" t="str">
        <f ca="1">RESULTADOS!AI93</f>
        <v/>
      </c>
      <c r="FA35" s="110" t="str">
        <f ca="1">RESULTADOS!AJ93</f>
        <v/>
      </c>
      <c r="FB35" s="110" t="str">
        <f ca="1">RESULTADOS!AK93</f>
        <v/>
      </c>
      <c r="FC35" s="110" t="str">
        <f ca="1">RESULTADOS!AL93</f>
        <v/>
      </c>
      <c r="FD35" s="110" t="str">
        <f ca="1">RESULTADOS!AM93</f>
        <v/>
      </c>
      <c r="FE35" s="110" t="str">
        <f ca="1">RESULTADOS!AN93</f>
        <v/>
      </c>
      <c r="FF35" s="110" t="str">
        <f ca="1">RESULTADOS!AO93</f>
        <v/>
      </c>
      <c r="FG35" s="110" t="str">
        <f ca="1">RESULTADOS!AP93</f>
        <v/>
      </c>
      <c r="FH35" s="110" t="str">
        <f ca="1">RESULTADOS!AQ93</f>
        <v/>
      </c>
      <c r="FI35" s="110" t="str">
        <f ca="1">RESULTADOS!AR93</f>
        <v/>
      </c>
      <c r="FJ35" s="110" t="str">
        <f ca="1">RESULTADOS!AS93</f>
        <v/>
      </c>
      <c r="FK35" s="110" t="str">
        <f ca="1">RESULTADOS!AT93</f>
        <v/>
      </c>
      <c r="FL35" s="110" t="str">
        <f ca="1">RESULTADOS!AU93</f>
        <v/>
      </c>
      <c r="FM35" s="110" t="str">
        <f ca="1">RESULTADOS!AV93</f>
        <v/>
      </c>
      <c r="FN35" s="110" t="str">
        <f ca="1">RESULTADOS!AW93</f>
        <v/>
      </c>
    </row>
    <row r="36" spans="3:170">
      <c r="T36" s="112" t="str">
        <f>RESULTADOS!B53</f>
        <v/>
      </c>
      <c r="U36" s="112" t="str">
        <f>RESULTADOS!C53</f>
        <v/>
      </c>
      <c r="V36" s="112" t="str">
        <f t="shared" si="0"/>
        <v/>
      </c>
      <c r="W36" s="112" t="str">
        <v/>
      </c>
      <c r="X36" s="112" t="str">
        <f>RESULTADOS!D53</f>
        <v/>
      </c>
      <c r="Y36" s="112" t="str">
        <v/>
      </c>
      <c r="Z36" s="187" t="str">
        <v/>
      </c>
      <c r="AA36" s="110" t="str">
        <f ca="1">RESULTADOS!E53</f>
        <v/>
      </c>
      <c r="AB36" s="110" t="str">
        <f ca="1">RESULTADOS!F53</f>
        <v/>
      </c>
      <c r="AC36" s="110" t="str">
        <f ca="1">RESULTADOS!G53</f>
        <v/>
      </c>
      <c r="AD36" s="110" t="str">
        <f ca="1">RESULTADOS!H53</f>
        <v/>
      </c>
      <c r="AE36" s="110" t="str">
        <f ca="1">RESULTADOS!I53</f>
        <v/>
      </c>
      <c r="AF36" s="110" t="str">
        <f ca="1">RESULTADOS!J53</f>
        <v/>
      </c>
      <c r="AG36" s="110" t="str">
        <f ca="1">RESULTADOS!K53</f>
        <v/>
      </c>
      <c r="AH36" s="110" t="str">
        <f ca="1">RESULTADOS!L53</f>
        <v/>
      </c>
      <c r="AI36" s="110" t="str">
        <f ca="1">RESULTADOS!M53</f>
        <v/>
      </c>
      <c r="AJ36" s="110" t="str">
        <f ca="1">RESULTADOS!N53</f>
        <v/>
      </c>
      <c r="AK36" s="110" t="str">
        <f ca="1">RESULTADOS!O53</f>
        <v/>
      </c>
      <c r="AL36" s="110" t="str">
        <f ca="1">RESULTADOS!P53</f>
        <v/>
      </c>
      <c r="AM36" s="110" t="str">
        <f ca="1">RESULTADOS!Q53</f>
        <v/>
      </c>
      <c r="AN36" s="110" t="str">
        <f ca="1">RESULTADOS!R53</f>
        <v/>
      </c>
      <c r="AO36" s="110" t="str">
        <f ca="1">RESULTADOS!S53</f>
        <v/>
      </c>
      <c r="AP36" s="110" t="str">
        <f ca="1">RESULTADOS!T53</f>
        <v/>
      </c>
      <c r="AQ36" s="110" t="str">
        <f ca="1">RESULTADOS!U53</f>
        <v/>
      </c>
      <c r="AR36" s="110" t="str">
        <f ca="1">RESULTADOS!V53</f>
        <v/>
      </c>
      <c r="AS36" s="110" t="str">
        <f ca="1">RESULTADOS!W53</f>
        <v/>
      </c>
      <c r="AT36" s="110" t="str">
        <f ca="1">RESULTADOS!X53</f>
        <v/>
      </c>
      <c r="AU36" s="110" t="str">
        <f ca="1">RESULTADOS!Y53</f>
        <v/>
      </c>
      <c r="AV36" s="110" t="str">
        <f ca="1">RESULTADOS!Z53</f>
        <v/>
      </c>
      <c r="AW36" s="110" t="str">
        <f ca="1">RESULTADOS!AA53</f>
        <v/>
      </c>
      <c r="AX36" s="110" t="str">
        <f ca="1">RESULTADOS!AB53</f>
        <v/>
      </c>
      <c r="AY36" s="110" t="str">
        <f ca="1">RESULTADOS!AC53</f>
        <v/>
      </c>
      <c r="AZ36" s="110" t="str">
        <f ca="1">RESULTADOS!AD53</f>
        <v/>
      </c>
      <c r="BA36" s="110" t="str">
        <f ca="1">RESULTADOS!AE53</f>
        <v/>
      </c>
      <c r="BB36" s="110" t="str">
        <f ca="1">RESULTADOS!AF53</f>
        <v/>
      </c>
      <c r="BC36" s="110" t="str">
        <f ca="1">RESULTADOS!AG53</f>
        <v/>
      </c>
      <c r="BD36" s="110" t="str">
        <f ca="1">RESULTADOS!AH53</f>
        <v/>
      </c>
      <c r="BE36" s="110" t="str">
        <f ca="1">RESULTADOS!AI53</f>
        <v/>
      </c>
      <c r="BF36" s="110" t="str">
        <f ca="1">RESULTADOS!AJ53</f>
        <v/>
      </c>
      <c r="BG36" s="110" t="str">
        <f ca="1">RESULTADOS!AK53</f>
        <v/>
      </c>
      <c r="BH36" s="110" t="str">
        <f ca="1">RESULTADOS!AL53</f>
        <v/>
      </c>
      <c r="BI36" s="110" t="str">
        <f ca="1">RESULTADOS!AM53</f>
        <v/>
      </c>
      <c r="BJ36" s="110" t="str">
        <f ca="1">RESULTADOS!AN53</f>
        <v/>
      </c>
      <c r="BK36" s="110" t="str">
        <f ca="1">RESULTADOS!AO53</f>
        <v/>
      </c>
      <c r="BL36" s="110" t="str">
        <f ca="1">RESULTADOS!AP53</f>
        <v/>
      </c>
      <c r="BM36" s="110" t="str">
        <f ca="1">RESULTADOS!AQ53</f>
        <v/>
      </c>
      <c r="BN36" s="110" t="str">
        <f ca="1">RESULTADOS!AR53</f>
        <v/>
      </c>
      <c r="BO36" s="110" t="str">
        <f ca="1">RESULTADOS!AS53</f>
        <v/>
      </c>
      <c r="BP36" s="110" t="str">
        <f ca="1">RESULTADOS!AT53</f>
        <v/>
      </c>
      <c r="BQ36" s="110" t="str">
        <f ca="1">RESULTADOS!AU53</f>
        <v/>
      </c>
      <c r="BR36" s="110" t="str">
        <f ca="1">RESULTADOS!AV53</f>
        <v/>
      </c>
      <c r="BS36" s="110" t="str">
        <f ca="1">RESULTADOS!AW53</f>
        <v/>
      </c>
      <c r="BT36" s="110" t="str">
        <f ca="1">RESULTADOS!AX53</f>
        <v/>
      </c>
      <c r="BU36" s="110" t="str">
        <f ca="1">RESULTADOS!AY53</f>
        <v/>
      </c>
      <c r="BV36" s="110" t="str">
        <f ca="1">RESULTADOS!AZ53</f>
        <v/>
      </c>
      <c r="BW36" s="110" t="str">
        <f ca="1">RESULTADOS!BA53</f>
        <v/>
      </c>
      <c r="BX36" s="110" t="str">
        <f ca="1">RESULTADOS!BB53</f>
        <v/>
      </c>
      <c r="BY36" s="110" t="str">
        <f ca="1">RESULTADOS!BC53</f>
        <v/>
      </c>
      <c r="BZ36" s="110" t="str">
        <f ca="1">RESULTADOS!BD53</f>
        <v/>
      </c>
      <c r="CA36" s="110" t="str">
        <f ca="1">RESULTADOS!BE53</f>
        <v/>
      </c>
      <c r="CB36" s="110" t="str">
        <f ca="1">RESULTADOS!BF53</f>
        <v/>
      </c>
      <c r="CC36" s="110" t="str">
        <f ca="1">RESULTADOS!BG53</f>
        <v/>
      </c>
      <c r="CD36" s="110" t="str">
        <f ca="1">RESULTADOS!BH53</f>
        <v/>
      </c>
      <c r="CE36" s="110" t="str">
        <f ca="1">RESULTADOS!BI53</f>
        <v/>
      </c>
      <c r="CF36" s="110" t="str">
        <f ca="1">RESULTADOS!BJ53</f>
        <v/>
      </c>
      <c r="CG36" s="110" t="str">
        <f ca="1">RESULTADOS!BK53</f>
        <v/>
      </c>
      <c r="CH36" s="110" t="str">
        <f ca="1">RESULTADOS!BL53</f>
        <v/>
      </c>
      <c r="CI36" s="110" t="str">
        <f ca="1">RESULTADOS!BM53</f>
        <v/>
      </c>
      <c r="CJ36" s="110" t="str">
        <f ca="1">RESULTADOS!BN53</f>
        <v/>
      </c>
      <c r="CK36" s="110" t="str">
        <f ca="1">RESULTADOS!BO53</f>
        <v/>
      </c>
      <c r="CL36" s="110" t="str">
        <f ca="1">RESULTADOS!BP53</f>
        <v/>
      </c>
      <c r="CM36" s="110" t="str">
        <f ca="1">RESULTADOS!BQ53</f>
        <v/>
      </c>
      <c r="CN36" s="110" t="str">
        <f ca="1">RESULTADOS!BR53</f>
        <v/>
      </c>
      <c r="CO36" s="110" t="str">
        <f ca="1">RESULTADOS!BS53</f>
        <v/>
      </c>
      <c r="CP36" s="110" t="str">
        <f ca="1">RESULTADOS!BT53</f>
        <v/>
      </c>
      <c r="CQ36" s="110" t="str">
        <f ca="1">RESULTADOS!BU53</f>
        <v/>
      </c>
      <c r="CR36" s="110" t="str">
        <f ca="1">RESULTADOS!BV53</f>
        <v/>
      </c>
      <c r="CS36" s="110" t="str">
        <f ca="1">RESULTADOS!BW53</f>
        <v/>
      </c>
      <c r="CT36" s="110" t="str">
        <f ca="1">RESULTADOS!BX53</f>
        <v/>
      </c>
      <c r="CU36" s="110" t="str">
        <f ca="1">RESULTADOS!BY53</f>
        <v/>
      </c>
      <c r="CV36" s="110" t="str">
        <f ca="1">RESULTADOS!BZ53</f>
        <v/>
      </c>
      <c r="CW36" s="110" t="str">
        <f ca="1">RESULTADOS!CA53</f>
        <v/>
      </c>
      <c r="CX36" s="110" t="str">
        <f ca="1">RESULTADOS!CB53</f>
        <v/>
      </c>
      <c r="CY36" s="110" t="str">
        <f ca="1">RESULTADOS!CC53</f>
        <v/>
      </c>
      <c r="CZ36" s="110" t="str">
        <f ca="1">RESULTADOS!CD53</f>
        <v/>
      </c>
      <c r="DA36" s="110" t="str">
        <f ca="1">RESULTADOS!CE53</f>
        <v/>
      </c>
      <c r="DB36" s="110" t="str">
        <f ca="1">RESULTADOS!CF53</f>
        <v/>
      </c>
      <c r="DC36" s="110" t="str">
        <f ca="1">RESULTADOS!CG53</f>
        <v/>
      </c>
      <c r="DD36" s="110" t="str">
        <f ca="1">RESULTADOS!CH53</f>
        <v/>
      </c>
      <c r="DE36" s="110" t="str">
        <f ca="1">RESULTADOS!CI53</f>
        <v/>
      </c>
      <c r="DF36" s="110" t="str">
        <f ca="1">RESULTADOS!CJ53</f>
        <v/>
      </c>
      <c r="DG36" s="110" t="str">
        <f ca="1">RESULTADOS!CK53</f>
        <v/>
      </c>
      <c r="DH36" s="110" t="str">
        <f ca="1">RESULTADOS!CL53</f>
        <v/>
      </c>
      <c r="DI36" s="110" t="str">
        <f ca="1">RESULTADOS!CM53</f>
        <v/>
      </c>
      <c r="DJ36" s="110" t="str">
        <f ca="1">RESULTADOS!CN53</f>
        <v/>
      </c>
      <c r="DK36" s="110" t="str">
        <f ca="1">RESULTADOS!CO53</f>
        <v/>
      </c>
      <c r="DL36" s="110" t="str">
        <f ca="1">RESULTADOS!CP53</f>
        <v/>
      </c>
      <c r="DM36" s="110" t="str">
        <f ca="1">RESULTADOS!CQ53</f>
        <v/>
      </c>
      <c r="DN36" s="110" t="str">
        <f ca="1">RESULTADOS!CR53</f>
        <v/>
      </c>
      <c r="DO36" s="112" t="str">
        <f>RESULTADOS!B94</f>
        <v/>
      </c>
      <c r="DP36" s="112" t="str">
        <f>RESULTADOS!C94</f>
        <v/>
      </c>
      <c r="DQ36" s="112" t="str">
        <f t="shared" si="1"/>
        <v/>
      </c>
      <c r="DR36" s="112" t="str" cm="1">
        <f t="array" ref="DR36">IFERROR(INDEX('03.Muestra'!$E$8:$E$42,SMALL(IF("Documento no web"='03.Muestra'!$D$8:$D$42,ROW('03.Muestra'!$E$8:$E$42)-MIN(ROW('03.Muestra'!$D$8:$D$42))+1,""),ROW()-2)),"")</f>
        <v/>
      </c>
      <c r="DS36" s="112" t="str">
        <f>RESULTADOS!D94</f>
        <v/>
      </c>
      <c r="DT36" s="112" t="str" cm="1">
        <f t="array" ref="DT36">IFERROR(INDEX('03.Muestra'!$G$8:$G$42,SMALL(IF("Documento no web"='03.Muestra'!$D$8:$D$42,ROW('03.Muestra'!$G$8:$G$42)-MIN(ROW('03.Muestra'!$D$8:$D$42))+1,""),ROW()-2)),"")</f>
        <v/>
      </c>
      <c r="DU36" s="187" t="str" cm="1">
        <f t="array" ref="DU36">IFERROR(INDEX('03.Muestra'!$H$8:$H$42,SMALL(IF("Documento no web"='03.Muestra'!$D$8:$D$42,ROW('03.Muestra'!$H$8:$H$42)-MIN(ROW('03.Muestra'!$D$8:$D$42))+1,""),ROW()-2)),"")</f>
        <v/>
      </c>
      <c r="DV36" s="110" t="str">
        <f ca="1">RESULTADOS!E94</f>
        <v/>
      </c>
      <c r="DW36" s="110" t="str">
        <f ca="1">RESULTADOS!F94</f>
        <v/>
      </c>
      <c r="DX36" s="110" t="str">
        <f ca="1">RESULTADOS!G94</f>
        <v/>
      </c>
      <c r="DY36" s="110" t="str">
        <f ca="1">RESULTADOS!H94</f>
        <v/>
      </c>
      <c r="DZ36" s="110" t="str">
        <f ca="1">RESULTADOS!I94</f>
        <v/>
      </c>
      <c r="EA36" s="110" t="str">
        <f ca="1">RESULTADOS!J94</f>
        <v/>
      </c>
      <c r="EB36" s="110" t="str">
        <f ca="1">RESULTADOS!K94</f>
        <v/>
      </c>
      <c r="EC36" s="110" t="str">
        <f ca="1">RESULTADOS!L94</f>
        <v/>
      </c>
      <c r="ED36" s="110" t="str">
        <f ca="1">RESULTADOS!M94</f>
        <v/>
      </c>
      <c r="EE36" s="110" t="str">
        <f ca="1">RESULTADOS!N94</f>
        <v/>
      </c>
      <c r="EF36" s="110" t="str">
        <f ca="1">RESULTADOS!O94</f>
        <v/>
      </c>
      <c r="EG36" s="110" t="str">
        <f ca="1">RESULTADOS!P94</f>
        <v/>
      </c>
      <c r="EH36" s="110" t="str">
        <f ca="1">RESULTADOS!Q94</f>
        <v/>
      </c>
      <c r="EI36" s="110" t="str">
        <f ca="1">RESULTADOS!R94</f>
        <v/>
      </c>
      <c r="EJ36" s="110" t="str">
        <f ca="1">RESULTADOS!S94</f>
        <v/>
      </c>
      <c r="EK36" s="110" t="str">
        <f ca="1">RESULTADOS!T94</f>
        <v/>
      </c>
      <c r="EL36" s="110" t="str">
        <f ca="1">RESULTADOS!U94</f>
        <v/>
      </c>
      <c r="EM36" s="110" t="str">
        <f ca="1">RESULTADOS!V94</f>
        <v/>
      </c>
      <c r="EN36" s="110" t="str">
        <f ca="1">RESULTADOS!W94</f>
        <v/>
      </c>
      <c r="EO36" s="110" t="str">
        <f ca="1">RESULTADOS!X94</f>
        <v/>
      </c>
      <c r="EP36" s="110" t="str">
        <f ca="1">RESULTADOS!Y94</f>
        <v/>
      </c>
      <c r="EQ36" s="110" t="str">
        <f ca="1">RESULTADOS!Z94</f>
        <v/>
      </c>
      <c r="ER36" s="110" t="str">
        <f ca="1">RESULTADOS!AA94</f>
        <v/>
      </c>
      <c r="ES36" s="110" t="str">
        <f ca="1">RESULTADOS!AB94</f>
        <v/>
      </c>
      <c r="ET36" s="110" t="str">
        <f ca="1">RESULTADOS!AC94</f>
        <v/>
      </c>
      <c r="EU36" s="110" t="str">
        <f ca="1">RESULTADOS!AD94</f>
        <v/>
      </c>
      <c r="EV36" s="110" t="str">
        <f ca="1">RESULTADOS!AE94</f>
        <v/>
      </c>
      <c r="EW36" s="110" t="str">
        <f ca="1">RESULTADOS!AF94</f>
        <v/>
      </c>
      <c r="EX36" s="110" t="str">
        <f ca="1">RESULTADOS!AG94</f>
        <v/>
      </c>
      <c r="EY36" s="110" t="str">
        <f ca="1">RESULTADOS!AH94</f>
        <v/>
      </c>
      <c r="EZ36" s="110" t="str">
        <f ca="1">RESULTADOS!AI94</f>
        <v/>
      </c>
      <c r="FA36" s="110" t="str">
        <f ca="1">RESULTADOS!AJ94</f>
        <v/>
      </c>
      <c r="FB36" s="110" t="str">
        <f ca="1">RESULTADOS!AK94</f>
        <v/>
      </c>
      <c r="FC36" s="110" t="str">
        <f ca="1">RESULTADOS!AL94</f>
        <v/>
      </c>
      <c r="FD36" s="110" t="str">
        <f ca="1">RESULTADOS!AM94</f>
        <v/>
      </c>
      <c r="FE36" s="110" t="str">
        <f ca="1">RESULTADOS!AN94</f>
        <v/>
      </c>
      <c r="FF36" s="110" t="str">
        <f ca="1">RESULTADOS!AO94</f>
        <v/>
      </c>
      <c r="FG36" s="110" t="str">
        <f ca="1">RESULTADOS!AP94</f>
        <v/>
      </c>
      <c r="FH36" s="110" t="str">
        <f ca="1">RESULTADOS!AQ94</f>
        <v/>
      </c>
      <c r="FI36" s="110" t="str">
        <f ca="1">RESULTADOS!AR94</f>
        <v/>
      </c>
      <c r="FJ36" s="110" t="str">
        <f ca="1">RESULTADOS!AS94</f>
        <v/>
      </c>
      <c r="FK36" s="110" t="str">
        <f ca="1">RESULTADOS!AT94</f>
        <v/>
      </c>
      <c r="FL36" s="110" t="str">
        <f ca="1">RESULTADOS!AU94</f>
        <v/>
      </c>
      <c r="FM36" s="110" t="str">
        <f ca="1">RESULTADOS!AV94</f>
        <v/>
      </c>
      <c r="FN36" s="110" t="str">
        <f ca="1">RESULTADOS!AW94</f>
        <v/>
      </c>
    </row>
    <row r="37" spans="3:170">
      <c r="T37" s="112" t="str">
        <f>RESULTADOS!B54</f>
        <v/>
      </c>
      <c r="U37" s="112" t="str">
        <f>RESULTADOS!C54</f>
        <v/>
      </c>
      <c r="V37" s="112" t="str">
        <f t="shared" si="0"/>
        <v/>
      </c>
      <c r="W37" s="112" t="str">
        <v/>
      </c>
      <c r="X37" s="112" t="str">
        <f>RESULTADOS!D54</f>
        <v/>
      </c>
      <c r="Y37" s="112" t="str">
        <v/>
      </c>
      <c r="Z37" s="187" t="str">
        <v/>
      </c>
      <c r="AA37" s="110" t="str">
        <f ca="1">RESULTADOS!E54</f>
        <v/>
      </c>
      <c r="AB37" s="110" t="str">
        <f ca="1">RESULTADOS!F54</f>
        <v/>
      </c>
      <c r="AC37" s="110" t="str">
        <f ca="1">RESULTADOS!G54</f>
        <v/>
      </c>
      <c r="AD37" s="110" t="str">
        <f ca="1">RESULTADOS!H54</f>
        <v/>
      </c>
      <c r="AE37" s="110" t="str">
        <f ca="1">RESULTADOS!I54</f>
        <v/>
      </c>
      <c r="AF37" s="110" t="str">
        <f ca="1">RESULTADOS!J54</f>
        <v/>
      </c>
      <c r="AG37" s="110" t="str">
        <f ca="1">RESULTADOS!K54</f>
        <v/>
      </c>
      <c r="AH37" s="110" t="str">
        <f ca="1">RESULTADOS!L54</f>
        <v/>
      </c>
      <c r="AI37" s="110" t="str">
        <f ca="1">RESULTADOS!M54</f>
        <v/>
      </c>
      <c r="AJ37" s="110" t="str">
        <f ca="1">RESULTADOS!N54</f>
        <v/>
      </c>
      <c r="AK37" s="110" t="str">
        <f ca="1">RESULTADOS!O54</f>
        <v/>
      </c>
      <c r="AL37" s="110" t="str">
        <f ca="1">RESULTADOS!P54</f>
        <v/>
      </c>
      <c r="AM37" s="110" t="str">
        <f ca="1">RESULTADOS!Q54</f>
        <v/>
      </c>
      <c r="AN37" s="110" t="str">
        <f ca="1">RESULTADOS!R54</f>
        <v/>
      </c>
      <c r="AO37" s="110" t="str">
        <f ca="1">RESULTADOS!S54</f>
        <v/>
      </c>
      <c r="AP37" s="110" t="str">
        <f ca="1">RESULTADOS!T54</f>
        <v/>
      </c>
      <c r="AQ37" s="110" t="str">
        <f ca="1">RESULTADOS!U54</f>
        <v/>
      </c>
      <c r="AR37" s="110" t="str">
        <f ca="1">RESULTADOS!V54</f>
        <v/>
      </c>
      <c r="AS37" s="110" t="str">
        <f ca="1">RESULTADOS!W54</f>
        <v/>
      </c>
      <c r="AT37" s="110" t="str">
        <f ca="1">RESULTADOS!X54</f>
        <v/>
      </c>
      <c r="AU37" s="110" t="str">
        <f ca="1">RESULTADOS!Y54</f>
        <v/>
      </c>
      <c r="AV37" s="110" t="str">
        <f ca="1">RESULTADOS!Z54</f>
        <v/>
      </c>
      <c r="AW37" s="110" t="str">
        <f ca="1">RESULTADOS!AA54</f>
        <v/>
      </c>
      <c r="AX37" s="110" t="str">
        <f ca="1">RESULTADOS!AB54</f>
        <v/>
      </c>
      <c r="AY37" s="110" t="str">
        <f ca="1">RESULTADOS!AC54</f>
        <v/>
      </c>
      <c r="AZ37" s="110" t="str">
        <f ca="1">RESULTADOS!AD54</f>
        <v/>
      </c>
      <c r="BA37" s="110" t="str">
        <f ca="1">RESULTADOS!AE54</f>
        <v/>
      </c>
      <c r="BB37" s="110" t="str">
        <f ca="1">RESULTADOS!AF54</f>
        <v/>
      </c>
      <c r="BC37" s="110" t="str">
        <f ca="1">RESULTADOS!AG54</f>
        <v/>
      </c>
      <c r="BD37" s="110" t="str">
        <f ca="1">RESULTADOS!AH54</f>
        <v/>
      </c>
      <c r="BE37" s="110" t="str">
        <f ca="1">RESULTADOS!AI54</f>
        <v/>
      </c>
      <c r="BF37" s="110" t="str">
        <f ca="1">RESULTADOS!AJ54</f>
        <v/>
      </c>
      <c r="BG37" s="110" t="str">
        <f ca="1">RESULTADOS!AK54</f>
        <v/>
      </c>
      <c r="BH37" s="110" t="str">
        <f ca="1">RESULTADOS!AL54</f>
        <v/>
      </c>
      <c r="BI37" s="110" t="str">
        <f ca="1">RESULTADOS!AM54</f>
        <v/>
      </c>
      <c r="BJ37" s="110" t="str">
        <f ca="1">RESULTADOS!AN54</f>
        <v/>
      </c>
      <c r="BK37" s="110" t="str">
        <f ca="1">RESULTADOS!AO54</f>
        <v/>
      </c>
      <c r="BL37" s="110" t="str">
        <f ca="1">RESULTADOS!AP54</f>
        <v/>
      </c>
      <c r="BM37" s="110" t="str">
        <f ca="1">RESULTADOS!AQ54</f>
        <v/>
      </c>
      <c r="BN37" s="110" t="str">
        <f ca="1">RESULTADOS!AR54</f>
        <v/>
      </c>
      <c r="BO37" s="110" t="str">
        <f ca="1">RESULTADOS!AS54</f>
        <v/>
      </c>
      <c r="BP37" s="110" t="str">
        <f ca="1">RESULTADOS!AT54</f>
        <v/>
      </c>
      <c r="BQ37" s="110" t="str">
        <f ca="1">RESULTADOS!AU54</f>
        <v/>
      </c>
      <c r="BR37" s="110" t="str">
        <f ca="1">RESULTADOS!AV54</f>
        <v/>
      </c>
      <c r="BS37" s="110" t="str">
        <f ca="1">RESULTADOS!AW54</f>
        <v/>
      </c>
      <c r="BT37" s="110" t="str">
        <f ca="1">RESULTADOS!AX54</f>
        <v/>
      </c>
      <c r="BU37" s="110" t="str">
        <f ca="1">RESULTADOS!AY54</f>
        <v/>
      </c>
      <c r="BV37" s="110" t="str">
        <f ca="1">RESULTADOS!AZ54</f>
        <v/>
      </c>
      <c r="BW37" s="110" t="str">
        <f ca="1">RESULTADOS!BA54</f>
        <v/>
      </c>
      <c r="BX37" s="110" t="str">
        <f ca="1">RESULTADOS!BB54</f>
        <v/>
      </c>
      <c r="BY37" s="110" t="str">
        <f ca="1">RESULTADOS!BC54</f>
        <v/>
      </c>
      <c r="BZ37" s="110" t="str">
        <f ca="1">RESULTADOS!BD54</f>
        <v/>
      </c>
      <c r="CA37" s="110" t="str">
        <f ca="1">RESULTADOS!BE54</f>
        <v/>
      </c>
      <c r="CB37" s="110" t="str">
        <f ca="1">RESULTADOS!BF54</f>
        <v/>
      </c>
      <c r="CC37" s="110" t="str">
        <f ca="1">RESULTADOS!BG54</f>
        <v/>
      </c>
      <c r="CD37" s="110" t="str">
        <f ca="1">RESULTADOS!BH54</f>
        <v/>
      </c>
      <c r="CE37" s="110" t="str">
        <f ca="1">RESULTADOS!BI54</f>
        <v/>
      </c>
      <c r="CF37" s="110" t="str">
        <f ca="1">RESULTADOS!BJ54</f>
        <v/>
      </c>
      <c r="CG37" s="110" t="str">
        <f ca="1">RESULTADOS!BK54</f>
        <v/>
      </c>
      <c r="CH37" s="110" t="str">
        <f ca="1">RESULTADOS!BL54</f>
        <v/>
      </c>
      <c r="CI37" s="110" t="str">
        <f ca="1">RESULTADOS!BM54</f>
        <v/>
      </c>
      <c r="CJ37" s="110" t="str">
        <f ca="1">RESULTADOS!BN54</f>
        <v/>
      </c>
      <c r="CK37" s="110" t="str">
        <f ca="1">RESULTADOS!BO54</f>
        <v/>
      </c>
      <c r="CL37" s="110" t="str">
        <f ca="1">RESULTADOS!BP54</f>
        <v/>
      </c>
      <c r="CM37" s="110" t="str">
        <f ca="1">RESULTADOS!BQ54</f>
        <v/>
      </c>
      <c r="CN37" s="110" t="str">
        <f ca="1">RESULTADOS!BR54</f>
        <v/>
      </c>
      <c r="CO37" s="110" t="str">
        <f ca="1">RESULTADOS!BS54</f>
        <v/>
      </c>
      <c r="CP37" s="110" t="str">
        <f ca="1">RESULTADOS!BT54</f>
        <v/>
      </c>
      <c r="CQ37" s="110" t="str">
        <f ca="1">RESULTADOS!BU54</f>
        <v/>
      </c>
      <c r="CR37" s="110" t="str">
        <f ca="1">RESULTADOS!BV54</f>
        <v/>
      </c>
      <c r="CS37" s="110" t="str">
        <f ca="1">RESULTADOS!BW54</f>
        <v/>
      </c>
      <c r="CT37" s="110" t="str">
        <f ca="1">RESULTADOS!BX54</f>
        <v/>
      </c>
      <c r="CU37" s="110" t="str">
        <f ca="1">RESULTADOS!BY54</f>
        <v/>
      </c>
      <c r="CV37" s="110" t="str">
        <f ca="1">RESULTADOS!BZ54</f>
        <v/>
      </c>
      <c r="CW37" s="110" t="str">
        <f ca="1">RESULTADOS!CA54</f>
        <v/>
      </c>
      <c r="CX37" s="110" t="str">
        <f ca="1">RESULTADOS!CB54</f>
        <v/>
      </c>
      <c r="CY37" s="110" t="str">
        <f ca="1">RESULTADOS!CC54</f>
        <v/>
      </c>
      <c r="CZ37" s="110" t="str">
        <f ca="1">RESULTADOS!CD54</f>
        <v/>
      </c>
      <c r="DA37" s="110" t="str">
        <f ca="1">RESULTADOS!CE54</f>
        <v/>
      </c>
      <c r="DB37" s="110" t="str">
        <f ca="1">RESULTADOS!CF54</f>
        <v/>
      </c>
      <c r="DC37" s="110" t="str">
        <f ca="1">RESULTADOS!CG54</f>
        <v/>
      </c>
      <c r="DD37" s="110" t="str">
        <f ca="1">RESULTADOS!CH54</f>
        <v/>
      </c>
      <c r="DE37" s="110" t="str">
        <f ca="1">RESULTADOS!CI54</f>
        <v/>
      </c>
      <c r="DF37" s="110" t="str">
        <f ca="1">RESULTADOS!CJ54</f>
        <v/>
      </c>
      <c r="DG37" s="110" t="str">
        <f ca="1">RESULTADOS!CK54</f>
        <v/>
      </c>
      <c r="DH37" s="110" t="str">
        <f ca="1">RESULTADOS!CL54</f>
        <v/>
      </c>
      <c r="DI37" s="110" t="str">
        <f ca="1">RESULTADOS!CM54</f>
        <v/>
      </c>
      <c r="DJ37" s="110" t="str">
        <f ca="1">RESULTADOS!CN54</f>
        <v/>
      </c>
      <c r="DK37" s="110" t="str">
        <f ca="1">RESULTADOS!CO54</f>
        <v/>
      </c>
      <c r="DL37" s="110" t="str">
        <f ca="1">RESULTADOS!CP54</f>
        <v/>
      </c>
      <c r="DM37" s="110" t="str">
        <f ca="1">RESULTADOS!CQ54</f>
        <v/>
      </c>
      <c r="DN37" s="110" t="str">
        <f ca="1">RESULTADOS!CR54</f>
        <v/>
      </c>
      <c r="DO37" s="112" t="str">
        <f>RESULTADOS!B95</f>
        <v/>
      </c>
      <c r="DP37" s="112" t="str">
        <f>RESULTADOS!C95</f>
        <v/>
      </c>
      <c r="DQ37" s="112" t="str">
        <f t="shared" si="1"/>
        <v/>
      </c>
      <c r="DR37" s="112" t="str" cm="1">
        <f t="array" ref="DR37">IFERROR(INDEX('03.Muestra'!$E$8:$E$42,SMALL(IF("Documento no web"='03.Muestra'!$D$8:$D$42,ROW('03.Muestra'!$E$8:$E$42)-MIN(ROW('03.Muestra'!$D$8:$D$42))+1,""),ROW()-2)),"")</f>
        <v/>
      </c>
      <c r="DS37" s="112" t="str">
        <f>RESULTADOS!D95</f>
        <v/>
      </c>
      <c r="DT37" s="112" t="str" cm="1">
        <f t="array" ref="DT37">IFERROR(INDEX('03.Muestra'!$G$8:$G$42,SMALL(IF("Documento no web"='03.Muestra'!$D$8:$D$42,ROW('03.Muestra'!$G$8:$G$42)-MIN(ROW('03.Muestra'!$D$8:$D$42))+1,""),ROW()-2)),"")</f>
        <v/>
      </c>
      <c r="DU37" s="187" t="str" cm="1">
        <f t="array" ref="DU37">IFERROR(INDEX('03.Muestra'!$H$8:$H$42,SMALL(IF("Documento no web"='03.Muestra'!$D$8:$D$42,ROW('03.Muestra'!$H$8:$H$42)-MIN(ROW('03.Muestra'!$D$8:$D$42))+1,""),ROW()-2)),"")</f>
        <v/>
      </c>
      <c r="DV37" s="110" t="str">
        <f ca="1">RESULTADOS!E95</f>
        <v/>
      </c>
      <c r="DW37" s="110" t="str">
        <f ca="1">RESULTADOS!F95</f>
        <v/>
      </c>
      <c r="DX37" s="110" t="str">
        <f ca="1">RESULTADOS!G95</f>
        <v/>
      </c>
      <c r="DY37" s="110" t="str">
        <f ca="1">RESULTADOS!H95</f>
        <v/>
      </c>
      <c r="DZ37" s="110" t="str">
        <f ca="1">RESULTADOS!I95</f>
        <v/>
      </c>
      <c r="EA37" s="110" t="str">
        <f ca="1">RESULTADOS!J95</f>
        <v/>
      </c>
      <c r="EB37" s="110" t="str">
        <f ca="1">RESULTADOS!K95</f>
        <v/>
      </c>
      <c r="EC37" s="110" t="str">
        <f ca="1">RESULTADOS!L95</f>
        <v/>
      </c>
      <c r="ED37" s="110" t="str">
        <f ca="1">RESULTADOS!M95</f>
        <v/>
      </c>
      <c r="EE37" s="110" t="str">
        <f ca="1">RESULTADOS!N95</f>
        <v/>
      </c>
      <c r="EF37" s="110" t="str">
        <f ca="1">RESULTADOS!O95</f>
        <v/>
      </c>
      <c r="EG37" s="110" t="str">
        <f ca="1">RESULTADOS!P95</f>
        <v/>
      </c>
      <c r="EH37" s="110" t="str">
        <f ca="1">RESULTADOS!Q95</f>
        <v/>
      </c>
      <c r="EI37" s="110" t="str">
        <f ca="1">RESULTADOS!R95</f>
        <v/>
      </c>
      <c r="EJ37" s="110" t="str">
        <f ca="1">RESULTADOS!S95</f>
        <v/>
      </c>
      <c r="EK37" s="110" t="str">
        <f ca="1">RESULTADOS!T95</f>
        <v/>
      </c>
      <c r="EL37" s="110" t="str">
        <f ca="1">RESULTADOS!U95</f>
        <v/>
      </c>
      <c r="EM37" s="110" t="str">
        <f ca="1">RESULTADOS!V95</f>
        <v/>
      </c>
      <c r="EN37" s="110" t="str">
        <f ca="1">RESULTADOS!W95</f>
        <v/>
      </c>
      <c r="EO37" s="110" t="str">
        <f ca="1">RESULTADOS!X95</f>
        <v/>
      </c>
      <c r="EP37" s="110" t="str">
        <f ca="1">RESULTADOS!Y95</f>
        <v/>
      </c>
      <c r="EQ37" s="110" t="str">
        <f ca="1">RESULTADOS!Z95</f>
        <v/>
      </c>
      <c r="ER37" s="110" t="str">
        <f ca="1">RESULTADOS!AA95</f>
        <v/>
      </c>
      <c r="ES37" s="110" t="str">
        <f ca="1">RESULTADOS!AB95</f>
        <v/>
      </c>
      <c r="ET37" s="110" t="str">
        <f ca="1">RESULTADOS!AC95</f>
        <v/>
      </c>
      <c r="EU37" s="110" t="str">
        <f ca="1">RESULTADOS!AD95</f>
        <v/>
      </c>
      <c r="EV37" s="110" t="str">
        <f ca="1">RESULTADOS!AE95</f>
        <v/>
      </c>
      <c r="EW37" s="110" t="str">
        <f ca="1">RESULTADOS!AF95</f>
        <v/>
      </c>
      <c r="EX37" s="110" t="str">
        <f ca="1">RESULTADOS!AG95</f>
        <v/>
      </c>
      <c r="EY37" s="110" t="str">
        <f ca="1">RESULTADOS!AH95</f>
        <v/>
      </c>
      <c r="EZ37" s="110" t="str">
        <f ca="1">RESULTADOS!AI95</f>
        <v/>
      </c>
      <c r="FA37" s="110" t="str">
        <f ca="1">RESULTADOS!AJ95</f>
        <v/>
      </c>
      <c r="FB37" s="110" t="str">
        <f ca="1">RESULTADOS!AK95</f>
        <v/>
      </c>
      <c r="FC37" s="110" t="str">
        <f ca="1">RESULTADOS!AL95</f>
        <v/>
      </c>
      <c r="FD37" s="110" t="str">
        <f ca="1">RESULTADOS!AM95</f>
        <v/>
      </c>
      <c r="FE37" s="110" t="str">
        <f ca="1">RESULTADOS!AN95</f>
        <v/>
      </c>
      <c r="FF37" s="110" t="str">
        <f ca="1">RESULTADOS!AO95</f>
        <v/>
      </c>
      <c r="FG37" s="110" t="str">
        <f ca="1">RESULTADOS!AP95</f>
        <v/>
      </c>
      <c r="FH37" s="110" t="str">
        <f ca="1">RESULTADOS!AQ95</f>
        <v/>
      </c>
      <c r="FI37" s="110" t="str">
        <f ca="1">RESULTADOS!AR95</f>
        <v/>
      </c>
      <c r="FJ37" s="110" t="str">
        <f ca="1">RESULTADOS!AS95</f>
        <v/>
      </c>
      <c r="FK37" s="110" t="str">
        <f ca="1">RESULTADOS!AT95</f>
        <v/>
      </c>
      <c r="FL37" s="110" t="str">
        <f ca="1">RESULTADOS!AU95</f>
        <v/>
      </c>
      <c r="FM37" s="110" t="str">
        <f ca="1">RESULTADOS!AV95</f>
        <v/>
      </c>
      <c r="FN37" s="110"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C18" zoomScale="85" zoomScaleNormal="85" workbookViewId="0">
      <selection activeCell="C36" sqref="C36"/>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9" t="s">
        <v>12</v>
      </c>
      <c r="E3" s="220"/>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425</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485</v>
      </c>
      <c r="D27" s="36"/>
      <c r="E27" s="18"/>
      <c r="F27" s="18"/>
      <c r="G27" s="18"/>
      <c r="H27" s="106"/>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484</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481</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486</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09">
        <v>45443</v>
      </c>
      <c r="D35" s="98"/>
      <c r="E35" s="98"/>
      <c r="F35" s="98"/>
      <c r="G35" s="98"/>
      <c r="H35" s="98"/>
      <c r="I35" s="98"/>
      <c r="J35" s="98"/>
      <c r="K35" s="98"/>
      <c r="L35" s="98"/>
      <c r="M35" s="98"/>
    </row>
    <row r="36" spans="2:26" ht="11.4" customHeight="1">
      <c r="B36" s="13"/>
      <c r="C36" s="13"/>
    </row>
    <row r="37" spans="2:26" ht="14.15"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3"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479</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6" t="s">
        <v>33</v>
      </c>
      <c r="D47" s="115" t="s">
        <v>34</v>
      </c>
      <c r="M47" s="18"/>
      <c r="N47" s="18"/>
      <c r="O47" s="18"/>
      <c r="Q47" s="18"/>
      <c r="R47" s="18"/>
      <c r="S47" s="18"/>
      <c r="U47" s="18"/>
      <c r="V47" s="18"/>
      <c r="W47" s="18"/>
      <c r="X47" s="18"/>
      <c r="Y47" s="18"/>
      <c r="Z47" s="18"/>
    </row>
    <row r="48" spans="2:26" ht="14.9" customHeight="1">
      <c r="C48" s="27" t="s">
        <v>35</v>
      </c>
      <c r="D48" s="19" t="s">
        <v>36</v>
      </c>
      <c r="G48" s="62"/>
    </row>
    <row r="49" spans="2:26" ht="14.9" customHeight="1">
      <c r="C49" s="27" t="s">
        <v>37</v>
      </c>
      <c r="D49" s="19" t="s">
        <v>53</v>
      </c>
      <c r="G49" s="62"/>
    </row>
    <row r="50" spans="2:26" ht="14.9" customHeight="1">
      <c r="C50" s="27" t="s">
        <v>38</v>
      </c>
      <c r="D50" s="19" t="s">
        <v>36</v>
      </c>
      <c r="G50" s="62"/>
    </row>
    <row r="51" spans="2:26" ht="14.9" customHeight="1">
      <c r="C51" s="27" t="s">
        <v>39</v>
      </c>
      <c r="D51" s="19" t="s">
        <v>36</v>
      </c>
      <c r="G51" s="62"/>
    </row>
    <row r="52" spans="2:26" ht="14.9" customHeight="1">
      <c r="C52" s="27" t="s">
        <v>40</v>
      </c>
      <c r="D52" s="19" t="s">
        <v>36</v>
      </c>
      <c r="G52" s="62"/>
    </row>
    <row r="53" spans="2:26" ht="14.9" customHeight="1">
      <c r="C53" s="27" t="s">
        <v>41</v>
      </c>
      <c r="D53" s="19" t="s">
        <v>36</v>
      </c>
      <c r="G53" s="62"/>
    </row>
    <row r="54" spans="2:26" ht="14.9" customHeight="1">
      <c r="C54" s="27" t="s">
        <v>42</v>
      </c>
      <c r="D54" s="19" t="s">
        <v>36</v>
      </c>
      <c r="G54" s="62"/>
    </row>
    <row r="55" spans="2:26" ht="14.9" customHeight="1">
      <c r="C55" s="27" t="s">
        <v>43</v>
      </c>
      <c r="D55" s="19" t="s">
        <v>36</v>
      </c>
      <c r="G55" s="62"/>
    </row>
    <row r="56" spans="2:26" ht="14.9"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483</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F26" sqref="F26"/>
    </sheetView>
  </sheetViews>
  <sheetFormatPr baseColWidth="10" defaultColWidth="11.54296875" defaultRowHeight="12.5"/>
  <cols>
    <col min="1" max="1" width="11.54296875" style="147"/>
    <col min="2" max="2" width="14" style="147" customWidth="1"/>
    <col min="3" max="3" width="8.6328125" style="147" customWidth="1"/>
    <col min="4" max="4" width="9.453125" style="147" customWidth="1"/>
    <col min="5" max="5" width="14.453125" style="147" customWidth="1"/>
    <col min="6" max="6" width="8.54296875" style="147" customWidth="1"/>
    <col min="7" max="7" width="11.54296875" style="147"/>
    <col min="8" max="8" width="12" style="147" customWidth="1"/>
    <col min="9" max="9" width="8.6328125" style="147" customWidth="1"/>
    <col min="10" max="10" width="11.54296875" style="147"/>
    <col min="11" max="11" width="19.54296875" style="147" customWidth="1"/>
    <col min="12" max="12" width="40.6328125" style="147" customWidth="1"/>
    <col min="13" max="16384" width="11.54296875" style="147"/>
  </cols>
  <sheetData>
    <row r="1" spans="1:60" ht="12.75" customHeight="1">
      <c r="A1" s="144"/>
      <c r="B1" s="145"/>
      <c r="C1" s="146"/>
      <c r="D1" s="146"/>
      <c r="E1" s="146"/>
      <c r="F1" s="146"/>
      <c r="G1" s="146"/>
      <c r="H1" s="146"/>
      <c r="I1" s="146"/>
      <c r="J1" s="146"/>
      <c r="K1" s="146"/>
      <c r="L1" s="146"/>
      <c r="M1" s="146"/>
      <c r="N1" s="146"/>
      <c r="O1" s="146"/>
      <c r="P1" s="146"/>
      <c r="Q1" s="146"/>
      <c r="R1" s="146"/>
      <c r="S1" s="146"/>
      <c r="T1" s="146"/>
      <c r="U1" s="146"/>
      <c r="V1" s="146"/>
    </row>
    <row r="2" spans="1:60" ht="25.4" customHeight="1">
      <c r="A2" s="144"/>
      <c r="B2" s="148" t="s">
        <v>0</v>
      </c>
      <c r="C2" s="146"/>
      <c r="D2" s="146"/>
      <c r="E2" s="146"/>
      <c r="F2" s="146"/>
      <c r="G2" s="146"/>
      <c r="H2" s="146"/>
      <c r="I2" s="146"/>
      <c r="J2" s="146"/>
      <c r="K2" s="146"/>
      <c r="L2" s="146"/>
      <c r="M2" s="146"/>
      <c r="N2" s="146"/>
      <c r="O2" s="146"/>
      <c r="P2" s="146"/>
      <c r="Q2" s="146"/>
      <c r="R2" s="146"/>
      <c r="S2" s="146"/>
      <c r="T2" s="146"/>
      <c r="U2" s="146"/>
      <c r="V2" s="146"/>
    </row>
    <row r="3" spans="1:60" ht="23.75" customHeight="1">
      <c r="A3" s="144"/>
      <c r="B3" s="149" t="s">
        <v>2</v>
      </c>
      <c r="C3" s="146"/>
      <c r="D3" s="146"/>
      <c r="E3" s="146"/>
      <c r="F3" s="146"/>
      <c r="G3" s="146"/>
      <c r="H3" s="146"/>
      <c r="I3" s="146"/>
      <c r="J3" s="146"/>
      <c r="K3" s="146"/>
      <c r="L3" s="146"/>
      <c r="M3" s="146"/>
      <c r="N3" s="146"/>
      <c r="O3" s="146"/>
      <c r="P3" s="146"/>
      <c r="Q3" s="146"/>
      <c r="R3" s="146"/>
      <c r="S3" s="146"/>
      <c r="T3" s="146"/>
      <c r="U3" s="146"/>
      <c r="V3" s="146"/>
    </row>
    <row r="4" spans="1:60" ht="16.649999999999999" customHeight="1">
      <c r="A4" s="144"/>
      <c r="B4" s="150"/>
      <c r="C4" s="146"/>
      <c r="D4" s="146"/>
      <c r="E4" s="146"/>
      <c r="F4" s="146"/>
      <c r="G4" s="146"/>
      <c r="H4" s="146"/>
      <c r="I4" s="146"/>
      <c r="J4" s="146"/>
      <c r="K4" s="146"/>
      <c r="L4" s="146"/>
      <c r="M4" s="146"/>
      <c r="N4" s="146"/>
      <c r="O4" s="146"/>
      <c r="P4" s="146"/>
      <c r="Q4" s="146"/>
      <c r="R4" s="146"/>
      <c r="S4" s="146"/>
      <c r="T4" s="146"/>
      <c r="U4" s="146"/>
      <c r="V4" s="146"/>
    </row>
    <row r="5" spans="1:60" ht="28.4" customHeight="1">
      <c r="B5" s="151" t="s">
        <v>49</v>
      </c>
      <c r="C5" s="151"/>
      <c r="D5" s="152"/>
      <c r="E5" s="152"/>
      <c r="F5" s="152"/>
      <c r="G5" s="152"/>
      <c r="H5" s="152"/>
      <c r="I5" s="152"/>
      <c r="J5" s="152"/>
      <c r="K5" s="152"/>
      <c r="L5" s="152"/>
      <c r="M5" s="153"/>
      <c r="N5" s="153"/>
      <c r="O5" s="153"/>
      <c r="P5" s="153"/>
      <c r="Q5" s="153"/>
      <c r="R5" s="153"/>
      <c r="S5" s="153"/>
      <c r="T5" s="153"/>
      <c r="U5" s="153"/>
      <c r="V5" s="153"/>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row>
    <row r="6" spans="1:60" ht="27.9" customHeight="1" thickBot="1">
      <c r="B6" s="221" t="s">
        <v>50</v>
      </c>
      <c r="C6" s="221"/>
      <c r="D6" s="221"/>
      <c r="E6" s="221"/>
      <c r="F6" s="221"/>
      <c r="G6" s="221"/>
      <c r="H6" s="221"/>
      <c r="I6" s="221"/>
      <c r="J6" s="221"/>
      <c r="K6" s="221"/>
      <c r="L6" s="221"/>
    </row>
    <row r="7" spans="1:60" ht="33.15" customHeight="1" thickTop="1">
      <c r="B7" s="222" t="s">
        <v>51</v>
      </c>
      <c r="C7" s="222"/>
      <c r="D7" s="222"/>
      <c r="E7" s="222"/>
      <c r="F7" s="222"/>
      <c r="G7" s="222"/>
      <c r="H7" s="222"/>
      <c r="I7" s="222"/>
      <c r="J7" s="222"/>
      <c r="K7" s="222"/>
      <c r="L7" s="222"/>
    </row>
    <row r="8" spans="1:60" ht="21.65" customHeight="1"/>
    <row r="9" spans="1:60" ht="17.149999999999999" customHeight="1">
      <c r="B9" s="155" t="s">
        <v>52</v>
      </c>
      <c r="C9" s="156" t="s">
        <v>53</v>
      </c>
      <c r="E9" s="155" t="s">
        <v>54</v>
      </c>
      <c r="F9" s="156" t="s">
        <v>36</v>
      </c>
      <c r="H9" s="155" t="s">
        <v>55</v>
      </c>
      <c r="I9" s="156" t="s">
        <v>36</v>
      </c>
    </row>
    <row r="10" spans="1:60" ht="17.149999999999999" customHeight="1">
      <c r="B10" s="155" t="s">
        <v>56</v>
      </c>
      <c r="C10" s="156" t="s">
        <v>36</v>
      </c>
      <c r="E10" s="155" t="s">
        <v>57</v>
      </c>
      <c r="F10" s="156" t="s">
        <v>36</v>
      </c>
      <c r="H10" s="155" t="s">
        <v>58</v>
      </c>
      <c r="I10" s="156" t="s">
        <v>36</v>
      </c>
    </row>
    <row r="11" spans="1:60" ht="17.149999999999999" customHeight="1">
      <c r="B11" s="155" t="s">
        <v>59</v>
      </c>
      <c r="C11" s="156" t="s">
        <v>36</v>
      </c>
      <c r="E11" s="155" t="s">
        <v>60</v>
      </c>
      <c r="F11" s="156" t="s">
        <v>36</v>
      </c>
      <c r="H11" s="155" t="s">
        <v>61</v>
      </c>
      <c r="I11" s="156" t="s">
        <v>36</v>
      </c>
    </row>
    <row r="12" spans="1:60" ht="17.149999999999999" customHeight="1">
      <c r="B12" s="155" t="s">
        <v>62</v>
      </c>
      <c r="C12" s="156" t="s">
        <v>53</v>
      </c>
      <c r="E12" s="155" t="s">
        <v>63</v>
      </c>
      <c r="F12" s="156" t="s">
        <v>36</v>
      </c>
      <c r="H12" s="155" t="s">
        <v>64</v>
      </c>
      <c r="I12" s="156" t="s">
        <v>36</v>
      </c>
      <c r="K12" s="157" t="s">
        <v>65</v>
      </c>
      <c r="L12" s="157" t="s">
        <v>66</v>
      </c>
    </row>
    <row r="13" spans="1:60" ht="17.149999999999999" customHeight="1">
      <c r="B13" s="155" t="s">
        <v>67</v>
      </c>
      <c r="C13" s="156" t="s">
        <v>53</v>
      </c>
      <c r="E13" s="155" t="s">
        <v>68</v>
      </c>
      <c r="F13" s="156" t="s">
        <v>36</v>
      </c>
      <c r="K13" s="158"/>
      <c r="L13" s="158"/>
    </row>
    <row r="14" spans="1:60" ht="17.149999999999999" customHeight="1">
      <c r="K14" s="158"/>
      <c r="L14" s="158"/>
    </row>
    <row r="15" spans="1:60" ht="17.149999999999999" customHeight="1">
      <c r="K15" s="158"/>
      <c r="L15" s="158"/>
    </row>
    <row r="16" spans="1:60" ht="17.149999999999999" customHeight="1">
      <c r="K16" s="158"/>
      <c r="L16" s="158"/>
    </row>
    <row r="17" spans="3:12">
      <c r="C17" s="223" t="s">
        <v>69</v>
      </c>
      <c r="D17" s="224"/>
      <c r="E17" s="224"/>
      <c r="F17" s="224"/>
      <c r="G17" s="225"/>
      <c r="K17" s="158"/>
      <c r="L17" s="158"/>
    </row>
    <row r="18" spans="3:12">
      <c r="C18" s="226"/>
      <c r="D18" s="227"/>
      <c r="E18" s="227"/>
      <c r="F18" s="227"/>
      <c r="G18" s="228"/>
      <c r="K18" s="158"/>
      <c r="L18" s="158"/>
    </row>
    <row r="19" spans="3:12">
      <c r="C19" s="229"/>
      <c r="D19" s="230"/>
      <c r="E19" s="230"/>
      <c r="F19" s="230"/>
      <c r="G19" s="231"/>
      <c r="K19" s="158"/>
      <c r="L19" s="158"/>
    </row>
    <row r="20" spans="3:12">
      <c r="K20" s="158"/>
      <c r="L20" s="158"/>
    </row>
    <row r="21" spans="3:12">
      <c r="K21" s="158"/>
      <c r="L21" s="158"/>
    </row>
    <row r="22" spans="3:12">
      <c r="K22" s="158"/>
      <c r="L22" s="158"/>
    </row>
    <row r="23" spans="3:12">
      <c r="K23" s="158"/>
      <c r="L23" s="158"/>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5" zoomScale="90" zoomScaleNormal="90" workbookViewId="0">
      <selection activeCell="C8" sqref="C8:G21"/>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32" t="s">
        <v>70</v>
      </c>
      <c r="C5" s="232"/>
      <c r="D5" s="232"/>
      <c r="E5" s="232"/>
      <c r="F5" s="232"/>
      <c r="G5" s="232"/>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3" t="s">
        <v>71</v>
      </c>
      <c r="C7" s="103" t="s">
        <v>72</v>
      </c>
      <c r="D7" s="103" t="s">
        <v>73</v>
      </c>
      <c r="E7" s="103" t="s">
        <v>74</v>
      </c>
      <c r="F7" s="103" t="s">
        <v>75</v>
      </c>
      <c r="G7" s="103" t="s">
        <v>76</v>
      </c>
      <c r="H7" s="103" t="s">
        <v>77</v>
      </c>
      <c r="I7" s="18"/>
      <c r="J7" s="18"/>
      <c r="K7" s="18"/>
      <c r="L7" s="18"/>
      <c r="M7" s="18"/>
      <c r="N7" s="18"/>
      <c r="O7" s="18"/>
      <c r="P7" s="18"/>
      <c r="Q7" s="18"/>
      <c r="R7" s="18"/>
      <c r="S7" s="18"/>
      <c r="T7" s="18"/>
      <c r="U7" s="18"/>
      <c r="V7" s="18"/>
      <c r="W7" s="18"/>
      <c r="X7" s="18"/>
      <c r="Y7" s="18"/>
    </row>
    <row r="8" spans="1:64" ht="18.149999999999999" customHeight="1">
      <c r="B8" s="102">
        <v>1</v>
      </c>
      <c r="C8" s="212" t="s">
        <v>482</v>
      </c>
      <c r="D8" s="211" t="s">
        <v>480</v>
      </c>
      <c r="E8" s="211" t="s">
        <v>424</v>
      </c>
      <c r="F8" s="213" t="s">
        <v>487</v>
      </c>
      <c r="G8" s="211" t="s">
        <v>482</v>
      </c>
      <c r="H8" s="142"/>
      <c r="I8" s="18"/>
      <c r="J8" s="18"/>
      <c r="K8" s="18"/>
      <c r="L8" s="18"/>
      <c r="M8" s="18"/>
      <c r="N8" s="18"/>
      <c r="O8" s="18"/>
      <c r="P8" s="18"/>
      <c r="Q8" s="18"/>
      <c r="R8" s="18"/>
      <c r="S8" s="18"/>
      <c r="T8" s="18"/>
      <c r="U8" s="18"/>
      <c r="V8" s="18"/>
      <c r="W8" s="18"/>
      <c r="X8" s="18"/>
      <c r="Y8" s="18"/>
    </row>
    <row r="9" spans="1:64" ht="18.149999999999999" customHeight="1">
      <c r="B9" s="51">
        <v>2</v>
      </c>
      <c r="C9" s="210" t="s">
        <v>488</v>
      </c>
      <c r="D9" s="211" t="s">
        <v>480</v>
      </c>
      <c r="E9" s="211" t="s">
        <v>438</v>
      </c>
      <c r="F9" s="213" t="s">
        <v>489</v>
      </c>
      <c r="G9" s="211" t="s">
        <v>490</v>
      </c>
      <c r="H9" s="101"/>
      <c r="I9" s="18"/>
      <c r="J9" s="18"/>
      <c r="K9" s="18"/>
      <c r="L9" s="18"/>
      <c r="M9" s="18"/>
      <c r="N9" s="18"/>
      <c r="O9" s="18"/>
      <c r="P9" s="18"/>
      <c r="Q9" s="18"/>
      <c r="R9" s="18"/>
      <c r="S9" s="18"/>
      <c r="T9" s="18"/>
      <c r="U9" s="18"/>
      <c r="V9" s="18"/>
      <c r="W9" s="18"/>
      <c r="X9" s="18"/>
      <c r="Y9" s="18"/>
    </row>
    <row r="10" spans="1:64" ht="18.149999999999999" customHeight="1">
      <c r="B10" s="51">
        <v>3</v>
      </c>
      <c r="C10" s="210" t="s">
        <v>491</v>
      </c>
      <c r="D10" s="211" t="s">
        <v>480</v>
      </c>
      <c r="E10" s="211" t="s">
        <v>441</v>
      </c>
      <c r="F10" s="213" t="s">
        <v>492</v>
      </c>
      <c r="G10" s="211" t="s">
        <v>493</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210" t="s">
        <v>494</v>
      </c>
      <c r="D11" s="211" t="s">
        <v>480</v>
      </c>
      <c r="E11" s="211" t="s">
        <v>443</v>
      </c>
      <c r="F11" s="213" t="s">
        <v>495</v>
      </c>
      <c r="G11" s="211" t="s">
        <v>496</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210" t="s">
        <v>497</v>
      </c>
      <c r="D12" s="211" t="s">
        <v>480</v>
      </c>
      <c r="E12" s="211" t="s">
        <v>443</v>
      </c>
      <c r="F12" s="213" t="s">
        <v>498</v>
      </c>
      <c r="G12" s="211" t="s">
        <v>499</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210" t="s">
        <v>500</v>
      </c>
      <c r="D13" s="211" t="s">
        <v>480</v>
      </c>
      <c r="E13" s="211" t="s">
        <v>443</v>
      </c>
      <c r="F13" s="213" t="s">
        <v>501</v>
      </c>
      <c r="G13" s="211" t="s">
        <v>502</v>
      </c>
      <c r="H13" s="101"/>
      <c r="I13" s="18"/>
      <c r="J13" s="18"/>
      <c r="K13" s="18"/>
      <c r="L13" s="18"/>
      <c r="M13" s="18"/>
      <c r="N13" s="18"/>
      <c r="O13" s="18"/>
      <c r="P13" s="18"/>
      <c r="Q13" s="18"/>
      <c r="R13" s="18"/>
      <c r="S13" s="18"/>
      <c r="T13" s="18"/>
      <c r="V13" s="18"/>
      <c r="W13" s="18"/>
      <c r="X13" s="18"/>
      <c r="Y13" s="18"/>
    </row>
    <row r="14" spans="1:64" ht="18.149999999999999" customHeight="1">
      <c r="B14" s="51">
        <v>7</v>
      </c>
      <c r="C14" s="210" t="s">
        <v>503</v>
      </c>
      <c r="D14" s="211" t="s">
        <v>480</v>
      </c>
      <c r="E14" s="211" t="s">
        <v>443</v>
      </c>
      <c r="F14" s="213" t="s">
        <v>504</v>
      </c>
      <c r="G14" s="211" t="s">
        <v>505</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210" t="s">
        <v>506</v>
      </c>
      <c r="D15" s="211" t="s">
        <v>480</v>
      </c>
      <c r="E15" s="211" t="s">
        <v>443</v>
      </c>
      <c r="F15" s="213" t="s">
        <v>507</v>
      </c>
      <c r="G15" s="211" t="s">
        <v>508</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210" t="s">
        <v>509</v>
      </c>
      <c r="D16" s="211" t="s">
        <v>480</v>
      </c>
      <c r="E16" s="211" t="s">
        <v>428</v>
      </c>
      <c r="F16" s="213" t="s">
        <v>510</v>
      </c>
      <c r="G16" s="211" t="s">
        <v>511</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210" t="s">
        <v>512</v>
      </c>
      <c r="D17" s="211" t="s">
        <v>480</v>
      </c>
      <c r="E17" s="211" t="s">
        <v>443</v>
      </c>
      <c r="F17" s="213" t="s">
        <v>513</v>
      </c>
      <c r="G17" s="211" t="s">
        <v>514</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210" t="s">
        <v>515</v>
      </c>
      <c r="D18" s="211" t="s">
        <v>480</v>
      </c>
      <c r="E18" s="211" t="s">
        <v>428</v>
      </c>
      <c r="F18" s="213" t="s">
        <v>516</v>
      </c>
      <c r="G18" s="211" t="s">
        <v>517</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210" t="s">
        <v>518</v>
      </c>
      <c r="D19" s="211" t="s">
        <v>480</v>
      </c>
      <c r="E19" s="211" t="s">
        <v>443</v>
      </c>
      <c r="F19" s="213" t="s">
        <v>519</v>
      </c>
      <c r="G19" s="211" t="s">
        <v>520</v>
      </c>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210" t="s">
        <v>521</v>
      </c>
      <c r="D20" s="211" t="s">
        <v>480</v>
      </c>
      <c r="E20" s="211" t="s">
        <v>428</v>
      </c>
      <c r="F20" s="213" t="s">
        <v>522</v>
      </c>
      <c r="G20" s="211" t="s">
        <v>523</v>
      </c>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210" t="s">
        <v>524</v>
      </c>
      <c r="D21" s="211" t="s">
        <v>480</v>
      </c>
      <c r="E21" s="211" t="s">
        <v>443</v>
      </c>
      <c r="F21" s="213" t="s">
        <v>525</v>
      </c>
      <c r="G21" s="211" t="s">
        <v>526</v>
      </c>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c r="D22" s="53"/>
      <c r="E22" s="53"/>
      <c r="F22" s="122"/>
      <c r="G22" s="53"/>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c r="D23" s="53"/>
      <c r="E23" s="53"/>
      <c r="F23" s="122"/>
      <c r="G23" s="53"/>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c r="D24" s="53"/>
      <c r="E24" s="53"/>
      <c r="F24" s="122"/>
      <c r="G24" s="53"/>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c r="D25" s="53"/>
      <c r="E25" s="53"/>
      <c r="F25" s="122"/>
      <c r="G25" s="53"/>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c r="D26" s="53"/>
      <c r="E26" s="53"/>
      <c r="F26" s="122"/>
      <c r="G26" s="53"/>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c r="D27" s="53"/>
      <c r="E27" s="53"/>
      <c r="F27" s="122"/>
      <c r="G27" s="53"/>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2"/>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2"/>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2"/>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2"/>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2"/>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2"/>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2"/>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2"/>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2"/>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2"/>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2"/>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2"/>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2"/>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2"/>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2"/>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78</v>
      </c>
      <c r="C45" s="56"/>
      <c r="D45" s="57">
        <f>COUNTA(F8:F42)</f>
        <v>14</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79</v>
      </c>
      <c r="C47" s="56"/>
      <c r="D47" s="57">
        <f>D45-D49</f>
        <v>11</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80</v>
      </c>
      <c r="C49" s="58"/>
      <c r="D49" s="57">
        <f>COUNTIF(E8:E42,"Aleatoria")</f>
        <v>3</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81</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E44">
    <cfRule type="expression" dxfId="1548" priority="2">
      <formula>LEN(TRIM(F44))&gt;0</formula>
    </cfRule>
  </conditionalFormatting>
  <conditionalFormatting sqref="D52">
    <cfRule type="cellIs" dxfId="1547" priority="3" operator="equal">
      <formula>"SI"</formula>
    </cfRule>
    <cfRule type="cellIs" dxfId="1546"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D32" sqref="D26:D32"/>
    </sheetView>
  </sheetViews>
  <sheetFormatPr baseColWidth="10" defaultColWidth="11.54296875" defaultRowHeight="12.5"/>
  <cols>
    <col min="1" max="1" width="6.36328125" style="84" customWidth="1"/>
    <col min="2" max="2" width="16.08984375" style="14" customWidth="1"/>
    <col min="3" max="3" width="64.08984375" style="14" customWidth="1"/>
    <col min="4" max="4" width="18.36328125" style="84" customWidth="1"/>
    <col min="5" max="5" width="6.3632812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5"/>
      <c r="C6" s="125"/>
      <c r="D6" s="125"/>
      <c r="E6" s="126"/>
      <c r="F6" s="125"/>
      <c r="G6" s="125"/>
      <c r="H6" s="125"/>
      <c r="I6" s="125"/>
      <c r="J6" s="125"/>
      <c r="K6" s="125"/>
      <c r="L6" s="125"/>
      <c r="M6" s="125"/>
      <c r="N6" s="18"/>
      <c r="O6" s="18"/>
    </row>
    <row r="7" spans="1:64" ht="12.65" customHeight="1">
      <c r="B7" s="18"/>
      <c r="C7" s="18"/>
      <c r="D7" s="18"/>
      <c r="E7" s="79"/>
      <c r="F7" s="18"/>
      <c r="G7" s="18"/>
      <c r="H7" s="18"/>
      <c r="I7" s="18"/>
      <c r="J7" s="18"/>
      <c r="K7" s="18"/>
      <c r="L7" s="18"/>
      <c r="M7" s="18"/>
      <c r="N7" s="18"/>
      <c r="O7" s="18"/>
    </row>
    <row r="8" spans="1:64" ht="18.899999999999999" customHeight="1">
      <c r="B8" s="82" t="s">
        <v>83</v>
      </c>
      <c r="C8" s="18"/>
      <c r="D8" s="79"/>
      <c r="E8" s="79"/>
      <c r="F8" s="18"/>
      <c r="G8" s="18"/>
      <c r="H8" s="18"/>
      <c r="I8" s="18"/>
      <c r="J8" s="18"/>
      <c r="K8" s="18"/>
      <c r="L8" s="18"/>
      <c r="M8" s="18"/>
      <c r="N8" s="18"/>
      <c r="O8" s="18"/>
    </row>
    <row r="9" spans="1:64" ht="30" customHeight="1">
      <c r="B9" s="235" t="s">
        <v>84</v>
      </c>
      <c r="C9" s="235"/>
      <c r="D9" s="235"/>
      <c r="E9" s="235"/>
      <c r="F9" s="235"/>
      <c r="G9" s="235"/>
      <c r="H9" s="235"/>
      <c r="I9" s="235"/>
      <c r="J9" s="235"/>
      <c r="K9" s="235"/>
      <c r="L9" s="235"/>
      <c r="M9" s="235"/>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33" t="s">
        <v>85</v>
      </c>
      <c r="C11" s="234"/>
      <c r="D11" s="26"/>
      <c r="E11" s="14"/>
      <c r="F11" s="195" t="s">
        <v>86</v>
      </c>
      <c r="G11" s="104" t="s">
        <v>87</v>
      </c>
      <c r="H11" s="196" t="s">
        <v>88</v>
      </c>
      <c r="I11" s="22"/>
      <c r="J11" s="195" t="s">
        <v>89</v>
      </c>
      <c r="K11" s="104" t="s">
        <v>87</v>
      </c>
      <c r="L11" s="196" t="s">
        <v>88</v>
      </c>
      <c r="M11" s="18"/>
      <c r="N11" s="18"/>
      <c r="O11" s="141"/>
      <c r="P11" s="18"/>
      <c r="Q11" s="18"/>
      <c r="R11" s="18"/>
      <c r="U11" s="18"/>
      <c r="V11" s="18"/>
      <c r="W11" s="18"/>
      <c r="X11" s="18"/>
      <c r="Y11" s="18"/>
    </row>
    <row r="12" spans="1:64" ht="12" customHeight="1">
      <c r="B12" s="107" t="s">
        <v>90</v>
      </c>
      <c r="C12" s="197">
        <f>COUNTIF($B$18:$B$3773,B12)</f>
        <v>3</v>
      </c>
      <c r="D12" s="26"/>
      <c r="E12" s="14"/>
      <c r="F12" s="198" t="s">
        <v>91</v>
      </c>
      <c r="G12" s="72">
        <f ca="1">J20+J58+J96</f>
        <v>0</v>
      </c>
      <c r="H12" s="42">
        <f ca="1">IF(($G$15+$K$15)=0,0,G12/($G$15+$K$15))</f>
        <v>0</v>
      </c>
      <c r="I12" s="26"/>
      <c r="J12" s="182" t="s">
        <v>92</v>
      </c>
      <c r="K12" s="72">
        <f ca="1">G20+G58+G96</f>
        <v>0</v>
      </c>
      <c r="L12" s="42">
        <f ca="1">IF(($G$15+$K$15)=0,0,K12/($G$15+$K$15))</f>
        <v>0</v>
      </c>
      <c r="M12" s="18"/>
      <c r="N12" s="18"/>
      <c r="O12" s="18"/>
      <c r="P12" s="18"/>
      <c r="Q12" s="18"/>
      <c r="R12" s="18"/>
      <c r="U12" s="18"/>
      <c r="V12" s="18"/>
      <c r="W12" s="18"/>
      <c r="X12" s="18"/>
      <c r="Y12" s="18"/>
    </row>
    <row r="13" spans="1:64" ht="12" customHeight="1">
      <c r="B13" s="107"/>
      <c r="C13" s="197"/>
      <c r="D13" s="26"/>
      <c r="E13" s="14"/>
      <c r="F13" s="198" t="s">
        <v>93</v>
      </c>
      <c r="G13" s="72">
        <f ca="1">I20+I58+I96</f>
        <v>0</v>
      </c>
      <c r="H13" s="42">
        <f ca="1">IF(($G$15+$K$15)=0,0,G13/($G$15+$K$15))</f>
        <v>0</v>
      </c>
      <c r="I13" s="26"/>
      <c r="J13" s="182" t="s">
        <v>94</v>
      </c>
      <c r="K13" s="72">
        <f ca="1">F20+F58+F96</f>
        <v>0</v>
      </c>
      <c r="L13" s="42">
        <f ca="1">IF(($G$15+$K$15)=0,0,K13/($G$15+$K$15))</f>
        <v>0</v>
      </c>
      <c r="M13" s="18"/>
      <c r="N13" s="18"/>
      <c r="O13" s="18"/>
      <c r="P13" s="18"/>
      <c r="Q13" s="18"/>
      <c r="R13" s="18"/>
      <c r="U13" s="18"/>
      <c r="V13" s="18"/>
      <c r="W13" s="18"/>
      <c r="X13" s="18"/>
      <c r="Y13" s="18"/>
    </row>
    <row r="14" spans="1:64" ht="12" customHeight="1" thickBot="1">
      <c r="B14" s="199" t="s">
        <v>95</v>
      </c>
      <c r="C14" s="200">
        <f>C12+C13</f>
        <v>3</v>
      </c>
      <c r="D14" s="26"/>
      <c r="E14" s="14"/>
      <c r="F14" s="198" t="s">
        <v>96</v>
      </c>
      <c r="G14" s="72">
        <f ca="1">H20+H58+H96</f>
        <v>42</v>
      </c>
      <c r="H14" s="42">
        <f ca="1">IF(($G$15+$K$15)=0,0,G14/($G$15+$K$15))</f>
        <v>1</v>
      </c>
      <c r="I14" s="26"/>
      <c r="J14" s="176" t="s">
        <v>97</v>
      </c>
      <c r="K14" s="201">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199" t="s">
        <v>95</v>
      </c>
      <c r="G15" s="202">
        <f ca="1">SUM(G12:G14)</f>
        <v>42</v>
      </c>
      <c r="H15" s="203">
        <f ca="1">SUM(H12:H14)</f>
        <v>1</v>
      </c>
      <c r="I15" s="26"/>
      <c r="J15" s="199" t="s">
        <v>95</v>
      </c>
      <c r="K15" s="202">
        <f ca="1">SUM(K12:K13)</f>
        <v>0</v>
      </c>
      <c r="L15" s="203">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2" t="s">
        <v>98</v>
      </c>
      <c r="B18" s="23" t="s">
        <v>90</v>
      </c>
      <c r="C18" s="24" t="s">
        <v>99</v>
      </c>
      <c r="D18" s="25" t="s">
        <v>100</v>
      </c>
      <c r="K18" s="18"/>
      <c r="L18" s="18"/>
    </row>
    <row r="19" spans="1:30" ht="12" customHeight="1">
      <c r="A19" s="39" cm="1">
        <f t="array" ref="A19">IFERROR(INDEX('03.Muestra'!$B$8:$B$42,SMALL(IF("Página Web"='03.Muestra'!$D$8:$D$42,ROW('03.Muestra'!$B$8:$B$42)-MIN(ROW('03.Muestra'!$D$8:$D$42))+1,""),ROW()-18)),"")</f>
        <v>1</v>
      </c>
      <c r="B19" s="173" t="str" cm="1">
        <f t="array" ref="B19">IFERROR(INDEX('03.Muestra'!$C$8:$C$42,SMALL(IF("Página Web"='03.Muestra'!$D$8:$D$42,ROW('03.Muestra'!$C$8:$C$42)-MIN(ROW('03.Muestra'!$D$8:$D$42))+1,""),ROW()-18)),"")</f>
        <v>Inicio</v>
      </c>
      <c r="C19" s="173" t="str" cm="1">
        <f t="array" ref="C19">IFERROR(INDEX('03.Muestra'!$F$8:$F$42,SMALL(IF("Página Web"='03.Muestra'!$D$8:$D$42,ROW('03.Muestra'!$F$8:$F$42)-MIN(ROW('03.Muestra'!$D$8:$D$42))+1,""),ROW()-18)),"")</f>
        <v>https://www.comunidad.madrid/transparencia/</v>
      </c>
      <c r="D19" s="99" t="s">
        <v>103</v>
      </c>
      <c r="E19" s="79" t="str">
        <f t="shared" ref="E19:E53" si="0">IF(D19&lt;&gt;"",IF(AND(B19&lt;&gt;"",C19&lt;&gt;""),"","ERR"),"")</f>
        <v/>
      </c>
      <c r="F19" s="86" t="s">
        <v>101</v>
      </c>
      <c r="G19" s="87" t="s">
        <v>102</v>
      </c>
      <c r="H19" s="88" t="s">
        <v>103</v>
      </c>
      <c r="I19" s="89" t="s">
        <v>93</v>
      </c>
      <c r="J19" s="90" t="s">
        <v>91</v>
      </c>
      <c r="K19" s="18"/>
      <c r="L19" s="18"/>
    </row>
    <row r="20" spans="1:30" ht="12" customHeight="1">
      <c r="A20" s="39" cm="1">
        <f t="array" ref="A20">IFERROR(INDEX('03.Muestra'!$B$8:$B$42,SMALL(IF("Página Web"='03.Muestra'!$D$8:$D$42,ROW('03.Muestra'!$B$8:$B$42)-MIN(ROW('03.Muestra'!$D$8:$D$42))+1,""),ROW()-18)),"")</f>
        <v>2</v>
      </c>
      <c r="B20" s="173" t="str" cm="1">
        <f t="array" ref="B20">IFERROR(INDEX('03.Muestra'!$C$8:$C$42,SMALL(IF("Página Web"='03.Muestra'!$D$8:$D$42,ROW('03.Muestra'!$C$8:$C$42)-MIN(ROW('03.Muestra'!$D$8:$D$42))+1,""),ROW()-18)),"")</f>
        <v>Aviso legal</v>
      </c>
      <c r="C20" s="173" t="str" cm="1">
        <f t="array" ref="C20">IFERROR(INDEX('03.Muestra'!$F$8:$F$42,SMALL(IF("Página Web"='03.Muestra'!$D$8:$D$42,ROW('03.Muestra'!$F$8:$F$42)-MIN(ROW('03.Muestra'!$D$8:$D$42))+1,""),ROW()-18)),"")</f>
        <v>https://www.comunidad.madrid/transparencia/aviso-legal</v>
      </c>
      <c r="D20" s="99" t="s">
        <v>103</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77">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3" t="str" cm="1">
        <f t="array" ref="B21">IFERROR(INDEX('03.Muestra'!$C$8:$C$42,SMALL(IF("Página Web"='03.Muestra'!$D$8:$D$42,ROW('03.Muestra'!$C$8:$C$42)-MIN(ROW('03.Muestra'!$D$8:$D$42))+1,""),ROW()-18)),"")</f>
        <v>Accesibilidad</v>
      </c>
      <c r="C21" s="173" t="str" cm="1">
        <f t="array" ref="C21">IFERROR(INDEX('03.Muestra'!$F$8:$F$42,SMALL(IF("Página Web"='03.Muestra'!$D$8:$D$42,ROW('03.Muestra'!$F$8:$F$42)-MIN(ROW('03.Muestra'!$D$8:$D$42))+1,""),ROW()-18)),"")</f>
        <v>https://www.comunidad.madrid/transparencia/declaracion-accesibilidad</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3" t="str" cm="1">
        <f t="array" ref="B22">IFERROR(INDEX('03.Muestra'!$C$8:$C$42,SMALL(IF("Página Web"='03.Muestra'!$D$8:$D$42,ROW('03.Muestra'!$C$8:$C$42)-MIN(ROW('03.Muestra'!$D$8:$D$42))+1,""),ROW()-18)),"")</f>
        <v>Tranparencia</v>
      </c>
      <c r="C22" s="173" t="str" cm="1">
        <f t="array" ref="C22">IFERROR(INDEX('03.Muestra'!$F$8:$F$42,SMALL(IF("Página Web"='03.Muestra'!$D$8:$D$42,ROW('03.Muestra'!$F$8:$F$42)-MIN(ROW('03.Muestra'!$D$8:$D$42))+1,""),ROW()-18)),"")</f>
        <v>https://www.comunidad.madrid/transparencia/que-es-transparencia</v>
      </c>
      <c r="D22" s="99" t="s">
        <v>103</v>
      </c>
      <c r="E22" s="79" t="str">
        <f t="shared" si="0"/>
        <v/>
      </c>
      <c r="F22" s="18"/>
      <c r="G22" s="18"/>
      <c r="H22" s="18"/>
      <c r="I22" s="18"/>
      <c r="K22" s="169" t="s">
        <v>101</v>
      </c>
      <c r="L22" s="92" t="s">
        <v>104</v>
      </c>
    </row>
    <row r="23" spans="1:30" ht="12" customHeight="1">
      <c r="A23" s="39" cm="1">
        <f t="array" ref="A23">IFERROR(INDEX('03.Muestra'!$B$8:$B$42,SMALL(IF("Página Web"='03.Muestra'!$D$8:$D$42,ROW('03.Muestra'!$B$8:$B$42)-MIN(ROW('03.Muestra'!$D$8:$D$42))+1,""),ROW()-18)),"")</f>
        <v>5</v>
      </c>
      <c r="B23" s="173" t="str" cm="1">
        <f t="array" ref="B23">IFERROR(INDEX('03.Muestra'!$C$8:$C$42,SMALL(IF("Página Web"='03.Muestra'!$D$8:$D$42,ROW('03.Muestra'!$C$8:$C$42)-MIN(ROW('03.Muestra'!$D$8:$D$42))+1,""),ROW()-18)),"")</f>
        <v>Organización</v>
      </c>
      <c r="C23" s="173" t="str" cm="1">
        <f t="array" ref="C23">IFERROR(INDEX('03.Muestra'!$F$8:$F$42,SMALL(IF("Página Web"='03.Muestra'!$D$8:$D$42,ROW('03.Muestra'!$F$8:$F$42)-MIN(ROW('03.Muestra'!$D$8:$D$42))+1,""),ROW()-18)),"")</f>
        <v>https://www.comunidad.madrid/transparencia/organizacion-recursos/organizacion</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173" t="str" cm="1">
        <f t="array" ref="B24">IFERROR(INDEX('03.Muestra'!$C$8:$C$42,SMALL(IF("Página Web"='03.Muestra'!$D$8:$D$42,ROW('03.Muestra'!$C$8:$C$42)-MIN(ROW('03.Muestra'!$D$8:$D$42))+1,""),ROW()-18)),"")</f>
        <v>Quejas</v>
      </c>
      <c r="C24" s="173" t="str" cm="1">
        <f t="array" ref="C24">IFERROR(INDEX('03.Muestra'!$F$8:$F$42,SMALL(IF("Página Web"='03.Muestra'!$D$8:$D$42,ROW('03.Muestra'!$F$8:$F$42)-MIN(ROW('03.Muestra'!$D$8:$D$42))+1,""),ROW()-18)),"")</f>
        <v>https://www.comunidad.madrid/transparencia/quejas-y-reclamaciones</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173" t="str" cm="1">
        <f t="array" ref="B25">IFERROR(INDEX('03.Muestra'!$C$8:$C$42,SMALL(IF("Página Web"='03.Muestra'!$D$8:$D$42,ROW('03.Muestra'!$C$8:$C$42)-MIN(ROW('03.Muestra'!$D$8:$D$42))+1,""),ROW()-18)),"")</f>
        <v>Contratos</v>
      </c>
      <c r="C25" s="173" t="str" cm="1">
        <f t="array" ref="C25">IFERROR(INDEX('03.Muestra'!$F$8:$F$42,SMALL(IF("Página Web"='03.Muestra'!$D$8:$D$42,ROW('03.Muestra'!$F$8:$F$42)-MIN(ROW('03.Muestra'!$D$8:$D$42))+1,""),ROW()-18)),"")</f>
        <v>https://www.comunidad.madrid/transparencia/contratos</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3" t="str" cm="1">
        <f t="array" ref="B26">IFERROR(INDEX('03.Muestra'!$C$8:$C$42,SMALL(IF("Página Web"='03.Muestra'!$D$8:$D$42,ROW('03.Muestra'!$C$8:$C$42)-MIN(ROW('03.Muestra'!$D$8:$D$42))+1,""),ROW()-18)),"")</f>
        <v>Consulta</v>
      </c>
      <c r="C26" s="173" t="str" cm="1">
        <f t="array" ref="C26">IFERROR(INDEX('03.Muestra'!$F$8:$F$42,SMALL(IF("Página Web"='03.Muestra'!$D$8:$D$42,ROW('03.Muestra'!$F$8:$F$42)-MIN(ROW('03.Muestra'!$D$8:$D$42))+1,""),ROW()-18)),"")</f>
        <v>https://www.comunidad.madrid/transparencia/normativa-planificacion/consulta-publica</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3" t="str" cm="1">
        <f t="array" ref="B27">IFERROR(INDEX('03.Muestra'!$C$8:$C$42,SMALL(IF("Página Web"='03.Muestra'!$D$8:$D$42,ROW('03.Muestra'!$C$8:$C$42)-MIN(ROW('03.Muestra'!$D$8:$D$42))+1,""),ROW()-18)),"")</f>
        <v>Proyecto</v>
      </c>
      <c r="C27" s="173" t="str" cm="1">
        <f t="array" ref="C27">IFERROR(INDEX('03.Muestra'!$F$8:$F$42,SMALL(IF("Página Web"='03.Muestra'!$D$8:$D$42,ROW('03.Muestra'!$F$8:$F$42)-MIN(ROW('03.Muestra'!$D$8:$D$42))+1,""),ROW()-18)),"")</f>
        <v>https://www.comunidad.madrid/transparencia/proyecto-orden-que-se-crea-comision-farmacia-y-productos-sanitarios-cm-y-se-establece-su-composicion</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3" t="str" cm="1">
        <f t="array" ref="B28">IFERROR(INDEX('03.Muestra'!$C$8:$C$42,SMALL(IF("Página Web"='03.Muestra'!$D$8:$D$42,ROW('03.Muestra'!$C$8:$C$42)-MIN(ROW('03.Muestra'!$D$8:$D$42))+1,""),ROW()-18)),"")</f>
        <v>Planes y Programas</v>
      </c>
      <c r="C28" s="173" t="str" cm="1">
        <f t="array" ref="C28">IFERROR(INDEX('03.Muestra'!$F$8:$F$42,SMALL(IF("Página Web"='03.Muestra'!$D$8:$D$42,ROW('03.Muestra'!$F$8:$F$42)-MIN(ROW('03.Muestra'!$D$8:$D$42))+1,""),ROW()-18)),"")</f>
        <v>https://www.comunidad.madrid/transparencia/normativa-planificacion/planes-programas</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3" t="str" cm="1">
        <f t="array" ref="B29">IFERROR(INDEX('03.Muestra'!$C$8:$C$42,SMALL(IF("Página Web"='03.Muestra'!$D$8:$D$42,ROW('03.Muestra'!$C$8:$C$42)-MIN(ROW('03.Muestra'!$D$8:$D$42))+1,""),ROW()-18)),"")</f>
        <v>Estrategia</v>
      </c>
      <c r="C29" s="173" t="str" cm="1">
        <f t="array" ref="C29">IFERROR(INDEX('03.Muestra'!$F$8:$F$42,SMALL(IF("Página Web"='03.Muestra'!$D$8:$D$42,ROW('03.Muestra'!$F$8:$F$42)-MIN(ROW('03.Muestra'!$D$8:$D$42))+1,""),ROW()-18)),"")</f>
        <v>https://www.comunidad.madrid/transparencia/informacion-institucional/planes-programas/estrategia-seguridad-del-paciente-del-servicio-madrileno</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3" t="str" cm="1">
        <f t="array" ref="B30">IFERROR(INDEX('03.Muestra'!$C$8:$C$42,SMALL(IF("Página Web"='03.Muestra'!$D$8:$D$42,ROW('03.Muestra'!$C$8:$C$42)-MIN(ROW('03.Muestra'!$D$8:$D$42))+1,""),ROW()-18)),"")</f>
        <v>Huella</v>
      </c>
      <c r="C30" s="173" t="str" cm="1">
        <f t="array" ref="C30">IFERROR(INDEX('03.Muestra'!$F$8:$F$42,SMALL(IF("Página Web"='03.Muestra'!$D$8:$D$42,ROW('03.Muestra'!$F$8:$F$42)-MIN(ROW('03.Muestra'!$D$8:$D$42))+1,""),ROW()-18)),"")</f>
        <v>https://www.comunidad.madrid/transparencia/normativa-planificacion/huella-normativa</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3" t="str" cm="1">
        <f t="array" ref="B31">IFERROR(INDEX('03.Muestra'!$C$8:$C$42,SMALL(IF("Página Web"='03.Muestra'!$D$8:$D$42,ROW('03.Muestra'!$C$8:$C$42)-MIN(ROW('03.Muestra'!$D$8:$D$42))+1,""),ROW()-18)),"")</f>
        <v>Decreto</v>
      </c>
      <c r="C31" s="173" t="str" cm="1">
        <f t="array" ref="C31">IFERROR(INDEX('03.Muestra'!$F$8:$F$42,SMALL(IF("Página Web"='03.Muestra'!$D$8:$D$42,ROW('03.Muestra'!$F$8:$F$42)-MIN(ROW('03.Muestra'!$D$8:$D$42))+1,""),ROW()-18)),"")</f>
        <v>https://www.comunidad.madrid/transparencia/decreto-del-consejo-gobierno-que-se-establece-estructura-organica-consejeria-familia-juventud-y</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3" t="str" cm="1">
        <f t="array" ref="B32">IFERROR(INDEX('03.Muestra'!$C$8:$C$42,SMALL(IF("Página Web"='03.Muestra'!$D$8:$D$42,ROW('03.Muestra'!$C$8:$C$42)-MIN(ROW('03.Muestra'!$D$8:$D$42))+1,""),ROW()-18)),"")</f>
        <v>Entidades Locales</v>
      </c>
      <c r="C32" s="173" t="str" cm="1">
        <f t="array" ref="C32">IFERROR(INDEX('03.Muestra'!$F$8:$F$42,SMALL(IF("Página Web"='03.Muestra'!$D$8:$D$42,ROW('03.Muestra'!$F$8:$F$42)-MIN(ROW('03.Muestra'!$D$8:$D$42))+1,""),ROW()-18)),"")</f>
        <v>https://www.comunidad.madrid/transparencia/entidades-locales</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3" t="str" cm="1">
        <f t="array" ref="B33">IFERROR(INDEX('03.Muestra'!$C$8:$C$42,SMALL(IF("Página Web"='03.Muestra'!$D$8:$D$42,ROW('03.Muestra'!$C$8:$C$42)-MIN(ROW('03.Muestra'!$D$8:$D$42))+1,""),ROW()-18)),"")</f>
        <v/>
      </c>
      <c r="C33" s="173"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3" t="str" cm="1">
        <f t="array" ref="B34">IFERROR(INDEX('03.Muestra'!$C$8:$C$42,SMALL(IF("Página Web"='03.Muestra'!$D$8:$D$42,ROW('03.Muestra'!$C$8:$C$42)-MIN(ROW('03.Muestra'!$D$8:$D$42))+1,""),ROW()-18)),"")</f>
        <v/>
      </c>
      <c r="C34" s="173"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3" t="str" cm="1">
        <f t="array" ref="B35">IFERROR(INDEX('03.Muestra'!$C$8:$C$42,SMALL(IF("Página Web"='03.Muestra'!$D$8:$D$42,ROW('03.Muestra'!$C$8:$C$42)-MIN(ROW('03.Muestra'!$D$8:$D$42))+1,""),ROW()-18)),"")</f>
        <v/>
      </c>
      <c r="C35" s="173"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3" t="str" cm="1">
        <f t="array" ref="B36">IFERROR(INDEX('03.Muestra'!$C$8:$C$42,SMALL(IF("Página Web"='03.Muestra'!$D$8:$D$42,ROW('03.Muestra'!$C$8:$C$42)-MIN(ROW('03.Muestra'!$D$8:$D$42))+1,""),ROW()-18)),"")</f>
        <v/>
      </c>
      <c r="C36" s="173"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3" t="str" cm="1">
        <f t="array" ref="B37">IFERROR(INDEX('03.Muestra'!$C$8:$C$42,SMALL(IF("Página Web"='03.Muestra'!$D$8:$D$42,ROW('03.Muestra'!$C$8:$C$42)-MIN(ROW('03.Muestra'!$D$8:$D$42))+1,""),ROW()-18)),"")</f>
        <v/>
      </c>
      <c r="C37" s="173"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3" t="str" cm="1">
        <f t="array" ref="B38">IFERROR(INDEX('03.Muestra'!$C$8:$C$42,SMALL(IF("Página Web"='03.Muestra'!$D$8:$D$42,ROW('03.Muestra'!$C$8:$C$42)-MIN(ROW('03.Muestra'!$D$8:$D$42))+1,""),ROW()-18)),"")</f>
        <v/>
      </c>
      <c r="C38" s="173"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3" t="str" cm="1">
        <f t="array" ref="B39">IFERROR(INDEX('03.Muestra'!$C$8:$C$42,SMALL(IF("Página Web"='03.Muestra'!$D$8:$D$42,ROW('03.Muestra'!$C$8:$C$42)-MIN(ROW('03.Muestra'!$D$8:$D$42))+1,""),ROW()-18)),"")</f>
        <v/>
      </c>
      <c r="C39" s="173"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3" t="str" cm="1">
        <f t="array" ref="B40">IFERROR(INDEX('03.Muestra'!$C$8:$C$42,SMALL(IF("Página Web"='03.Muestra'!$D$8:$D$42,ROW('03.Muestra'!$C$8:$C$42)-MIN(ROW('03.Muestra'!$D$8:$D$42))+1,""),ROW()-18)),"")</f>
        <v/>
      </c>
      <c r="C40" s="173"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3" t="str" cm="1">
        <f t="array" ref="B41">IFERROR(INDEX('03.Muestra'!$C$8:$C$42,SMALL(IF("Página Web"='03.Muestra'!$D$8:$D$42,ROW('03.Muestra'!$C$8:$C$42)-MIN(ROW('03.Muestra'!$D$8:$D$42))+1,""),ROW()-18)),"")</f>
        <v/>
      </c>
      <c r="C41" s="173"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3" t="str" cm="1">
        <f t="array" ref="B42">IFERROR(INDEX('03.Muestra'!$C$8:$C$42,SMALL(IF("Página Web"='03.Muestra'!$D$8:$D$42,ROW('03.Muestra'!$C$8:$C$42)-MIN(ROW('03.Muestra'!$D$8:$D$42))+1,""),ROW()-18)),"")</f>
        <v/>
      </c>
      <c r="C42" s="173"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3" t="str" cm="1">
        <f t="array" ref="B43">IFERROR(INDEX('03.Muestra'!$C$8:$C$42,SMALL(IF("Página Web"='03.Muestra'!$D$8:$D$42,ROW('03.Muestra'!$C$8:$C$42)-MIN(ROW('03.Muestra'!$D$8:$D$42))+1,""),ROW()-18)),"")</f>
        <v/>
      </c>
      <c r="C43" s="173"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3" t="str" cm="1">
        <f t="array" ref="B44">IFERROR(INDEX('03.Muestra'!$C$8:$C$42,SMALL(IF("Página Web"='03.Muestra'!$D$8:$D$42,ROW('03.Muestra'!$C$8:$C$42)-MIN(ROW('03.Muestra'!$D$8:$D$42))+1,""),ROW()-18)),"")</f>
        <v/>
      </c>
      <c r="C44" s="173"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3" t="str" cm="1">
        <f t="array" ref="B45">IFERROR(INDEX('03.Muestra'!$C$8:$C$42,SMALL(IF("Página Web"='03.Muestra'!$D$8:$D$42,ROW('03.Muestra'!$C$8:$C$42)-MIN(ROW('03.Muestra'!$D$8:$D$42))+1,""),ROW()-18)),"")</f>
        <v/>
      </c>
      <c r="C45" s="173"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3" t="str" cm="1">
        <f t="array" ref="B46">IFERROR(INDEX('03.Muestra'!$C$8:$C$42,SMALL(IF("Página Web"='03.Muestra'!$D$8:$D$42,ROW('03.Muestra'!$C$8:$C$42)-MIN(ROW('03.Muestra'!$D$8:$D$42))+1,""),ROW()-18)),"")</f>
        <v/>
      </c>
      <c r="C46" s="173"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3" t="str" cm="1">
        <f t="array" ref="B47">IFERROR(INDEX('03.Muestra'!$C$8:$C$42,SMALL(IF("Página Web"='03.Muestra'!$D$8:$D$42,ROW('03.Muestra'!$C$8:$C$42)-MIN(ROW('03.Muestra'!$D$8:$D$42))+1,""),ROW()-18)),"")</f>
        <v/>
      </c>
      <c r="C47" s="173"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3" t="str" cm="1">
        <f t="array" ref="B48">IFERROR(INDEX('03.Muestra'!$C$8:$C$42,SMALL(IF("Página Web"='03.Muestra'!$D$8:$D$42,ROW('03.Muestra'!$C$8:$C$42)-MIN(ROW('03.Muestra'!$D$8:$D$42))+1,""),ROW()-18)),"")</f>
        <v/>
      </c>
      <c r="C48" s="173"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3" t="str" cm="1">
        <f t="array" ref="B49">IFERROR(INDEX('03.Muestra'!$C$8:$C$42,SMALL(IF("Página Web"='03.Muestra'!$D$8:$D$42,ROW('03.Muestra'!$C$8:$C$42)-MIN(ROW('03.Muestra'!$D$8:$D$42))+1,""),ROW()-18)),"")</f>
        <v/>
      </c>
      <c r="C49" s="173"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3" t="str" cm="1">
        <f t="array" ref="B50">IFERROR(INDEX('03.Muestra'!$C$8:$C$42,SMALL(IF("Página Web"='03.Muestra'!$D$8:$D$42,ROW('03.Muestra'!$C$8:$C$42)-MIN(ROW('03.Muestra'!$D$8:$D$42))+1,""),ROW()-18)),"")</f>
        <v/>
      </c>
      <c r="C50" s="173"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3" t="str" cm="1">
        <f t="array" ref="B51">IFERROR(INDEX('03.Muestra'!$C$8:$C$42,SMALL(IF("Página Web"='03.Muestra'!$D$8:$D$42,ROW('03.Muestra'!$C$8:$C$42)-MIN(ROW('03.Muestra'!$D$8:$D$42))+1,""),ROW()-18)),"")</f>
        <v/>
      </c>
      <c r="C51" s="173"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3" t="str" cm="1">
        <f t="array" ref="B52">IFERROR(INDEX('03.Muestra'!$C$8:$C$42,SMALL(IF("Página Web"='03.Muestra'!$D$8:$D$42,ROW('03.Muestra'!$C$8:$C$42)-MIN(ROW('03.Muestra'!$D$8:$D$42))+1,""),ROW()-18)),"")</f>
        <v/>
      </c>
      <c r="C52" s="173"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3" t="str" cm="1">
        <f t="array" ref="B53">IFERROR(INDEX('03.Muestra'!$C$8:$C$42,SMALL(IF("Página Web"='03.Muestra'!$D$8:$D$42,ROW('03.Muestra'!$C$8:$C$42)-MIN(ROW('03.Muestra'!$D$8:$D$42))+1,""),ROW()-18)),"")</f>
        <v/>
      </c>
      <c r="C53" s="173"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2" t="s">
        <v>98</v>
      </c>
      <c r="B56" s="23" t="s">
        <v>90</v>
      </c>
      <c r="C56" s="24" t="s">
        <v>107</v>
      </c>
      <c r="D56" s="25" t="s">
        <v>100</v>
      </c>
      <c r="E56" s="93"/>
      <c r="K56" s="18"/>
      <c r="L56" s="18"/>
      <c r="M56" s="18"/>
      <c r="N56" s="18"/>
      <c r="O56" s="18"/>
      <c r="P56" s="18"/>
      <c r="Q56" s="18"/>
      <c r="R56" s="18"/>
      <c r="T56" s="18"/>
      <c r="U56" s="18"/>
      <c r="V56" s="18"/>
      <c r="W56" s="18"/>
      <c r="X56" s="18"/>
      <c r="Y56" s="18"/>
    </row>
    <row r="57" spans="1:25" ht="12" customHeight="1">
      <c r="A57" s="175" cm="1">
        <f t="array" ref="A57">IFERROR(INDEX('03.Muestra'!$B$8:$B$42,SMALL(IF("Página Web"='03.Muestra'!$D$8:$D$42,ROW('03.Muestra'!$B$8:$B$42)-MIN(ROW('03.Muestra'!$D$8:$D$42))+1,""),ROW()-56)),"")</f>
        <v>1</v>
      </c>
      <c r="B57" s="174" t="str" cm="1">
        <f t="array" ref="B57">IFERROR(INDEX('03.Muestra'!$C$8:$C$42,SMALL(IF("Página Web"='03.Muestra'!$D$8:$D$42,ROW('03.Muestra'!$C$8:$C$42)-MIN(ROW('03.Muestra'!$D$8:$D$42))+1,""),ROW()-56)),"")</f>
        <v>Inicio</v>
      </c>
      <c r="C57" s="174" t="str" cm="1">
        <f t="array" ref="C57">IFERROR(INDEX('03.Muestra'!$F$8:$F$42,SMALL(IF("Página Web"='03.Muestra'!$D$8:$D$42,ROW('03.Muestra'!$F$8:$F$42)-MIN(ROW('03.Muestra'!$D$8:$D$42))+1,""),ROW()-56)),"")</f>
        <v>https://www.comunidad.madrid/transparencia/</v>
      </c>
      <c r="D57" s="99" t="s">
        <v>103</v>
      </c>
      <c r="E57" s="79" t="str">
        <f t="shared" ref="E57:E91" si="2">IF(D57&lt;&gt;"",IF(AND(B57&lt;&gt;"",C57&lt;&gt;""),"","ERR"),"")</f>
        <v/>
      </c>
      <c r="F57" s="86" t="s">
        <v>101</v>
      </c>
      <c r="G57" s="87" t="s">
        <v>102</v>
      </c>
      <c r="H57" s="88" t="s">
        <v>103</v>
      </c>
      <c r="I57" s="89" t="s">
        <v>93</v>
      </c>
      <c r="J57" s="90" t="s">
        <v>91</v>
      </c>
      <c r="K57" s="18"/>
      <c r="L57" s="18"/>
      <c r="M57" s="18"/>
      <c r="N57" s="18"/>
      <c r="O57" s="18"/>
      <c r="P57" s="18"/>
      <c r="Q57" s="18"/>
      <c r="R57" s="18"/>
      <c r="S57" s="18"/>
      <c r="T57" s="18"/>
      <c r="U57" s="18"/>
      <c r="V57" s="18"/>
      <c r="W57" s="18"/>
      <c r="X57" s="18"/>
      <c r="Y57" s="18"/>
    </row>
    <row r="58" spans="1:25" ht="12" customHeight="1">
      <c r="A58" s="175" cm="1">
        <f t="array" ref="A58">IFERROR(INDEX('03.Muestra'!$B$8:$B$42,SMALL(IF("Página Web"='03.Muestra'!$D$8:$D$42,ROW('03.Muestra'!$B$8:$B$42)-MIN(ROW('03.Muestra'!$D$8:$D$42))+1,""),ROW()-56)),"")</f>
        <v>2</v>
      </c>
      <c r="B58" s="174" t="str" cm="1">
        <f t="array" ref="B58">IFERROR(INDEX('03.Muestra'!$C$8:$C$42,SMALL(IF("Página Web"='03.Muestra'!$D$8:$D$42,ROW('03.Muestra'!$C$8:$C$42)-MIN(ROW('03.Muestra'!$D$8:$D$42))+1,""),ROW()-56)),"")</f>
        <v>Aviso legal</v>
      </c>
      <c r="C58" s="174" t="str" cm="1">
        <f t="array" ref="C58">IFERROR(INDEX('03.Muestra'!$F$8:$F$42,SMALL(IF("Página Web"='03.Muestra'!$D$8:$D$42,ROW('03.Muestra'!$F$8:$F$42)-MIN(ROW('03.Muestra'!$D$8:$D$42))+1,""),ROW()-56)),"")</f>
        <v>https://www.comunidad.madrid/transparencia/aviso-legal</v>
      </c>
      <c r="D58" s="99" t="s">
        <v>103</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77">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5" cm="1">
        <f t="array" ref="A59">IFERROR(INDEX('03.Muestra'!$B$8:$B$42,SMALL(IF("Página Web"='03.Muestra'!$D$8:$D$42,ROW('03.Muestra'!$B$8:$B$42)-MIN(ROW('03.Muestra'!$D$8:$D$42))+1,""),ROW()-56)),"")</f>
        <v>3</v>
      </c>
      <c r="B59" s="174" t="str" cm="1">
        <f t="array" ref="B59">IFERROR(INDEX('03.Muestra'!$C$8:$C$42,SMALL(IF("Página Web"='03.Muestra'!$D$8:$D$42,ROW('03.Muestra'!$C$8:$C$42)-MIN(ROW('03.Muestra'!$D$8:$D$42))+1,""),ROW()-56)),"")</f>
        <v>Accesibilidad</v>
      </c>
      <c r="C59" s="174" t="str" cm="1">
        <f t="array" ref="C59">IFERROR(INDEX('03.Muestra'!$F$8:$F$42,SMALL(IF("Página Web"='03.Muestra'!$D$8:$D$42,ROW('03.Muestra'!$F$8:$F$42)-MIN(ROW('03.Muestra'!$D$8:$D$42))+1,""),ROW()-56)),"")</f>
        <v>https://www.comunidad.madrid/transparencia/declaracion-accesibilidad</v>
      </c>
      <c r="D59" s="99" t="s">
        <v>103</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5" cm="1">
        <f t="array" ref="A60">IFERROR(INDEX('03.Muestra'!$B$8:$B$42,SMALL(IF("Página Web"='03.Muestra'!$D$8:$D$42,ROW('03.Muestra'!$B$8:$B$42)-MIN(ROW('03.Muestra'!$D$8:$D$42))+1,""),ROW()-56)),"")</f>
        <v>4</v>
      </c>
      <c r="B60" s="174" t="str" cm="1">
        <f t="array" ref="B60">IFERROR(INDEX('03.Muestra'!$C$8:$C$42,SMALL(IF("Página Web"='03.Muestra'!$D$8:$D$42,ROW('03.Muestra'!$C$8:$C$42)-MIN(ROW('03.Muestra'!$D$8:$D$42))+1,""),ROW()-56)),"")</f>
        <v>Tranparencia</v>
      </c>
      <c r="C60" s="174" t="str" cm="1">
        <f t="array" ref="C60">IFERROR(INDEX('03.Muestra'!$F$8:$F$42,SMALL(IF("Página Web"='03.Muestra'!$D$8:$D$42,ROW('03.Muestra'!$F$8:$F$42)-MIN(ROW('03.Muestra'!$D$8:$D$42))+1,""),ROW()-56)),"")</f>
        <v>https://www.comunidad.madrid/transparencia/que-es-transparencia</v>
      </c>
      <c r="D60" s="99" t="s">
        <v>103</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5" cm="1">
        <f t="array" ref="A61">IFERROR(INDEX('03.Muestra'!$B$8:$B$42,SMALL(IF("Página Web"='03.Muestra'!$D$8:$D$42,ROW('03.Muestra'!$B$8:$B$42)-MIN(ROW('03.Muestra'!$D$8:$D$42))+1,""),ROW()-56)),"")</f>
        <v>5</v>
      </c>
      <c r="B61" s="174" t="str" cm="1">
        <f t="array" ref="B61">IFERROR(INDEX('03.Muestra'!$C$8:$C$42,SMALL(IF("Página Web"='03.Muestra'!$D$8:$D$42,ROW('03.Muestra'!$C$8:$C$42)-MIN(ROW('03.Muestra'!$D$8:$D$42))+1,""),ROW()-56)),"")</f>
        <v>Organización</v>
      </c>
      <c r="C61" s="174" t="str" cm="1">
        <f t="array" ref="C61">IFERROR(INDEX('03.Muestra'!$F$8:$F$42,SMALL(IF("Página Web"='03.Muestra'!$D$8:$D$42,ROW('03.Muestra'!$F$8:$F$42)-MIN(ROW('03.Muestra'!$D$8:$D$42))+1,""),ROW()-56)),"")</f>
        <v>https://www.comunidad.madrid/transparencia/organizacion-recursos/organizacion</v>
      </c>
      <c r="D61" s="99" t="s">
        <v>103</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5" cm="1">
        <f t="array" ref="A62">IFERROR(INDEX('03.Muestra'!$B$8:$B$42,SMALL(IF("Página Web"='03.Muestra'!$D$8:$D$42,ROW('03.Muestra'!$B$8:$B$42)-MIN(ROW('03.Muestra'!$D$8:$D$42))+1,""),ROW()-56)),"")</f>
        <v>6</v>
      </c>
      <c r="B62" s="174" t="str" cm="1">
        <f t="array" ref="B62">IFERROR(INDEX('03.Muestra'!$C$8:$C$42,SMALL(IF("Página Web"='03.Muestra'!$D$8:$D$42,ROW('03.Muestra'!$C$8:$C$42)-MIN(ROW('03.Muestra'!$D$8:$D$42))+1,""),ROW()-56)),"")</f>
        <v>Quejas</v>
      </c>
      <c r="C62" s="174" t="str" cm="1">
        <f t="array" ref="C62">IFERROR(INDEX('03.Muestra'!$F$8:$F$42,SMALL(IF("Página Web"='03.Muestra'!$D$8:$D$42,ROW('03.Muestra'!$F$8:$F$42)-MIN(ROW('03.Muestra'!$D$8:$D$42))+1,""),ROW()-56)),"")</f>
        <v>https://www.comunidad.madrid/transparencia/quejas-y-reclamaciones</v>
      </c>
      <c r="D62" s="99" t="s">
        <v>103</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5" cm="1">
        <f t="array" ref="A63">IFERROR(INDEX('03.Muestra'!$B$8:$B$42,SMALL(IF("Página Web"='03.Muestra'!$D$8:$D$42,ROW('03.Muestra'!$B$8:$B$42)-MIN(ROW('03.Muestra'!$D$8:$D$42))+1,""),ROW()-56)),"")</f>
        <v>7</v>
      </c>
      <c r="B63" s="174" t="str" cm="1">
        <f t="array" ref="B63">IFERROR(INDEX('03.Muestra'!$C$8:$C$42,SMALL(IF("Página Web"='03.Muestra'!$D$8:$D$42,ROW('03.Muestra'!$C$8:$C$42)-MIN(ROW('03.Muestra'!$D$8:$D$42))+1,""),ROW()-56)),"")</f>
        <v>Contratos</v>
      </c>
      <c r="C63" s="174" t="str" cm="1">
        <f t="array" ref="C63">IFERROR(INDEX('03.Muestra'!$F$8:$F$42,SMALL(IF("Página Web"='03.Muestra'!$D$8:$D$42,ROW('03.Muestra'!$F$8:$F$42)-MIN(ROW('03.Muestra'!$D$8:$D$42))+1,""),ROW()-56)),"")</f>
        <v>https://www.comunidad.madrid/transparencia/contratos</v>
      </c>
      <c r="D63" s="99" t="s">
        <v>103</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5" cm="1">
        <f t="array" ref="A64">IFERROR(INDEX('03.Muestra'!$B$8:$B$42,SMALL(IF("Página Web"='03.Muestra'!$D$8:$D$42,ROW('03.Muestra'!$B$8:$B$42)-MIN(ROW('03.Muestra'!$D$8:$D$42))+1,""),ROW()-56)),"")</f>
        <v>8</v>
      </c>
      <c r="B64" s="174" t="str" cm="1">
        <f t="array" ref="B64">IFERROR(INDEX('03.Muestra'!$C$8:$C$42,SMALL(IF("Página Web"='03.Muestra'!$D$8:$D$42,ROW('03.Muestra'!$C$8:$C$42)-MIN(ROW('03.Muestra'!$D$8:$D$42))+1,""),ROW()-56)),"")</f>
        <v>Consulta</v>
      </c>
      <c r="C64" s="174" t="str" cm="1">
        <f t="array" ref="C64">IFERROR(INDEX('03.Muestra'!$F$8:$F$42,SMALL(IF("Página Web"='03.Muestra'!$D$8:$D$42,ROW('03.Muestra'!$F$8:$F$42)-MIN(ROW('03.Muestra'!$D$8:$D$42))+1,""),ROW()-56)),"")</f>
        <v>https://www.comunidad.madrid/transparencia/normativa-planificacion/consulta-publica</v>
      </c>
      <c r="D64" s="99" t="s">
        <v>103</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5" cm="1">
        <f t="array" ref="A65">IFERROR(INDEX('03.Muestra'!$B$8:$B$42,SMALL(IF("Página Web"='03.Muestra'!$D$8:$D$42,ROW('03.Muestra'!$B$8:$B$42)-MIN(ROW('03.Muestra'!$D$8:$D$42))+1,""),ROW()-56)),"")</f>
        <v>9</v>
      </c>
      <c r="B65" s="174" t="str" cm="1">
        <f t="array" ref="B65">IFERROR(INDEX('03.Muestra'!$C$8:$C$42,SMALL(IF("Página Web"='03.Muestra'!$D$8:$D$42,ROW('03.Muestra'!$C$8:$C$42)-MIN(ROW('03.Muestra'!$D$8:$D$42))+1,""),ROW()-56)),"")</f>
        <v>Proyecto</v>
      </c>
      <c r="C65" s="174" t="str" cm="1">
        <f t="array" ref="C65">IFERROR(INDEX('03.Muestra'!$F$8:$F$42,SMALL(IF("Página Web"='03.Muestra'!$D$8:$D$42,ROW('03.Muestra'!$F$8:$F$42)-MIN(ROW('03.Muestra'!$D$8:$D$42))+1,""),ROW()-56)),"")</f>
        <v>https://www.comunidad.madrid/transparencia/proyecto-orden-que-se-crea-comision-farmacia-y-productos-sanitarios-cm-y-se-establece-su-composicion</v>
      </c>
      <c r="D65" s="99" t="s">
        <v>103</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5" cm="1">
        <f t="array" ref="A66">IFERROR(INDEX('03.Muestra'!$B$8:$B$42,SMALL(IF("Página Web"='03.Muestra'!$D$8:$D$42,ROW('03.Muestra'!$B$8:$B$42)-MIN(ROW('03.Muestra'!$D$8:$D$42))+1,""),ROW()-56)),"")</f>
        <v>10</v>
      </c>
      <c r="B66" s="174" t="str" cm="1">
        <f t="array" ref="B66">IFERROR(INDEX('03.Muestra'!$C$8:$C$42,SMALL(IF("Página Web"='03.Muestra'!$D$8:$D$42,ROW('03.Muestra'!$C$8:$C$42)-MIN(ROW('03.Muestra'!$D$8:$D$42))+1,""),ROW()-56)),"")</f>
        <v>Planes y Programas</v>
      </c>
      <c r="C66" s="174" t="str" cm="1">
        <f t="array" ref="C66">IFERROR(INDEX('03.Muestra'!$F$8:$F$42,SMALL(IF("Página Web"='03.Muestra'!$D$8:$D$42,ROW('03.Muestra'!$F$8:$F$42)-MIN(ROW('03.Muestra'!$D$8:$D$42))+1,""),ROW()-56)),"")</f>
        <v>https://www.comunidad.madrid/transparencia/normativa-planificacion/planes-programas</v>
      </c>
      <c r="D66" s="99" t="s">
        <v>103</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5" cm="1">
        <f t="array" ref="A67">IFERROR(INDEX('03.Muestra'!$B$8:$B$42,SMALL(IF("Página Web"='03.Muestra'!$D$8:$D$42,ROW('03.Muestra'!$B$8:$B$42)-MIN(ROW('03.Muestra'!$D$8:$D$42))+1,""),ROW()-56)),"")</f>
        <v>11</v>
      </c>
      <c r="B67" s="174" t="str" cm="1">
        <f t="array" ref="B67">IFERROR(INDEX('03.Muestra'!$C$8:$C$42,SMALL(IF("Página Web"='03.Muestra'!$D$8:$D$42,ROW('03.Muestra'!$C$8:$C$42)-MIN(ROW('03.Muestra'!$D$8:$D$42))+1,""),ROW()-56)),"")</f>
        <v>Estrategia</v>
      </c>
      <c r="C67" s="174" t="str" cm="1">
        <f t="array" ref="C67">IFERROR(INDEX('03.Muestra'!$F$8:$F$42,SMALL(IF("Página Web"='03.Muestra'!$D$8:$D$42,ROW('03.Muestra'!$F$8:$F$42)-MIN(ROW('03.Muestra'!$D$8:$D$42))+1,""),ROW()-56)),"")</f>
        <v>https://www.comunidad.madrid/transparencia/informacion-institucional/planes-programas/estrategia-seguridad-del-paciente-del-servicio-madrileno</v>
      </c>
      <c r="D67" s="99" t="s">
        <v>103</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5" cm="1">
        <f t="array" ref="A68">IFERROR(INDEX('03.Muestra'!$B$8:$B$42,SMALL(IF("Página Web"='03.Muestra'!$D$8:$D$42,ROW('03.Muestra'!$B$8:$B$42)-MIN(ROW('03.Muestra'!$D$8:$D$42))+1,""),ROW()-56)),"")</f>
        <v>12</v>
      </c>
      <c r="B68" s="174" t="str" cm="1">
        <f t="array" ref="B68">IFERROR(INDEX('03.Muestra'!$C$8:$C$42,SMALL(IF("Página Web"='03.Muestra'!$D$8:$D$42,ROW('03.Muestra'!$C$8:$C$42)-MIN(ROW('03.Muestra'!$D$8:$D$42))+1,""),ROW()-56)),"")</f>
        <v>Huella</v>
      </c>
      <c r="C68" s="174" t="str" cm="1">
        <f t="array" ref="C68">IFERROR(INDEX('03.Muestra'!$F$8:$F$42,SMALL(IF("Página Web"='03.Muestra'!$D$8:$D$42,ROW('03.Muestra'!$F$8:$F$42)-MIN(ROW('03.Muestra'!$D$8:$D$42))+1,""),ROW()-56)),"")</f>
        <v>https://www.comunidad.madrid/transparencia/normativa-planificacion/huella-normativa</v>
      </c>
      <c r="D68" s="99" t="s">
        <v>103</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5" cm="1">
        <f t="array" ref="A69">IFERROR(INDEX('03.Muestra'!$B$8:$B$42,SMALL(IF("Página Web"='03.Muestra'!$D$8:$D$42,ROW('03.Muestra'!$B$8:$B$42)-MIN(ROW('03.Muestra'!$D$8:$D$42))+1,""),ROW()-56)),"")</f>
        <v>13</v>
      </c>
      <c r="B69" s="174" t="str" cm="1">
        <f t="array" ref="B69">IFERROR(INDEX('03.Muestra'!$C$8:$C$42,SMALL(IF("Página Web"='03.Muestra'!$D$8:$D$42,ROW('03.Muestra'!$C$8:$C$42)-MIN(ROW('03.Muestra'!$D$8:$D$42))+1,""),ROW()-56)),"")</f>
        <v>Decreto</v>
      </c>
      <c r="C69" s="174" t="str" cm="1">
        <f t="array" ref="C69">IFERROR(INDEX('03.Muestra'!$F$8:$F$42,SMALL(IF("Página Web"='03.Muestra'!$D$8:$D$42,ROW('03.Muestra'!$F$8:$F$42)-MIN(ROW('03.Muestra'!$D$8:$D$42))+1,""),ROW()-56)),"")</f>
        <v>https://www.comunidad.madrid/transparencia/decreto-del-consejo-gobierno-que-se-establece-estructura-organica-consejeria-familia-juventud-y</v>
      </c>
      <c r="D69" s="99" t="s">
        <v>103</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5" cm="1">
        <f t="array" ref="A70">IFERROR(INDEX('03.Muestra'!$B$8:$B$42,SMALL(IF("Página Web"='03.Muestra'!$D$8:$D$42,ROW('03.Muestra'!$B$8:$B$42)-MIN(ROW('03.Muestra'!$D$8:$D$42))+1,""),ROW()-56)),"")</f>
        <v>14</v>
      </c>
      <c r="B70" s="174" t="str" cm="1">
        <f t="array" ref="B70">IFERROR(INDEX('03.Muestra'!$C$8:$C$42,SMALL(IF("Página Web"='03.Muestra'!$D$8:$D$42,ROW('03.Muestra'!$C$8:$C$42)-MIN(ROW('03.Muestra'!$D$8:$D$42))+1,""),ROW()-56)),"")</f>
        <v>Entidades Locales</v>
      </c>
      <c r="C70" s="174" t="str" cm="1">
        <f t="array" ref="C70">IFERROR(INDEX('03.Muestra'!$F$8:$F$42,SMALL(IF("Página Web"='03.Muestra'!$D$8:$D$42,ROW('03.Muestra'!$F$8:$F$42)-MIN(ROW('03.Muestra'!$D$8:$D$42))+1,""),ROW()-56)),"")</f>
        <v>https://www.comunidad.madrid/transparencia/entidades-locales</v>
      </c>
      <c r="D70" s="99" t="s">
        <v>103</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5" t="str" cm="1">
        <f t="array" ref="A71">IFERROR(INDEX('03.Muestra'!$B$8:$B$42,SMALL(IF("Página Web"='03.Muestra'!$D$8:$D$42,ROW('03.Muestra'!$B$8:$B$42)-MIN(ROW('03.Muestra'!$D$8:$D$42))+1,""),ROW()-56)),"")</f>
        <v/>
      </c>
      <c r="B71" s="174" t="str" cm="1">
        <f t="array" ref="B71">IFERROR(INDEX('03.Muestra'!$C$8:$C$42,SMALL(IF("Página Web"='03.Muestra'!$D$8:$D$42,ROW('03.Muestra'!$C$8:$C$42)-MIN(ROW('03.Muestra'!$D$8:$D$42))+1,""),ROW()-56)),"")</f>
        <v/>
      </c>
      <c r="C71" s="174"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5" t="str" cm="1">
        <f t="array" ref="A72">IFERROR(INDEX('03.Muestra'!$B$8:$B$42,SMALL(IF("Página Web"='03.Muestra'!$D$8:$D$42,ROW('03.Muestra'!$B$8:$B$42)-MIN(ROW('03.Muestra'!$D$8:$D$42))+1,""),ROW()-56)),"")</f>
        <v/>
      </c>
      <c r="B72" s="174" t="str" cm="1">
        <f t="array" ref="B72">IFERROR(INDEX('03.Muestra'!$C$8:$C$42,SMALL(IF("Página Web"='03.Muestra'!$D$8:$D$42,ROW('03.Muestra'!$C$8:$C$42)-MIN(ROW('03.Muestra'!$D$8:$D$42))+1,""),ROW()-56)),"")</f>
        <v/>
      </c>
      <c r="C72" s="174"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5" t="str" cm="1">
        <f t="array" ref="A73">IFERROR(INDEX('03.Muestra'!$B$8:$B$42,SMALL(IF("Página Web"='03.Muestra'!$D$8:$D$42,ROW('03.Muestra'!$B$8:$B$42)-MIN(ROW('03.Muestra'!$D$8:$D$42))+1,""),ROW()-56)),"")</f>
        <v/>
      </c>
      <c r="B73" s="174" t="str" cm="1">
        <f t="array" ref="B73">IFERROR(INDEX('03.Muestra'!$C$8:$C$42,SMALL(IF("Página Web"='03.Muestra'!$D$8:$D$42,ROW('03.Muestra'!$C$8:$C$42)-MIN(ROW('03.Muestra'!$D$8:$D$42))+1,""),ROW()-56)),"")</f>
        <v/>
      </c>
      <c r="C73" s="174"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5" t="str" cm="1">
        <f t="array" ref="A74">IFERROR(INDEX('03.Muestra'!$B$8:$B$42,SMALL(IF("Página Web"='03.Muestra'!$D$8:$D$42,ROW('03.Muestra'!$B$8:$B$42)-MIN(ROW('03.Muestra'!$D$8:$D$42))+1,""),ROW()-56)),"")</f>
        <v/>
      </c>
      <c r="B74" s="174" t="str" cm="1">
        <f t="array" ref="B74">IFERROR(INDEX('03.Muestra'!$C$8:$C$42,SMALL(IF("Página Web"='03.Muestra'!$D$8:$D$42,ROW('03.Muestra'!$C$8:$C$42)-MIN(ROW('03.Muestra'!$D$8:$D$42))+1,""),ROW()-56)),"")</f>
        <v/>
      </c>
      <c r="C74" s="174"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5" t="str" cm="1">
        <f t="array" ref="A75">IFERROR(INDEX('03.Muestra'!$B$8:$B$42,SMALL(IF("Página Web"='03.Muestra'!$D$8:$D$42,ROW('03.Muestra'!$B$8:$B$42)-MIN(ROW('03.Muestra'!$D$8:$D$42))+1,""),ROW()-56)),"")</f>
        <v/>
      </c>
      <c r="B75" s="174" t="str" cm="1">
        <f t="array" ref="B75">IFERROR(INDEX('03.Muestra'!$C$8:$C$42,SMALL(IF("Página Web"='03.Muestra'!$D$8:$D$42,ROW('03.Muestra'!$C$8:$C$42)-MIN(ROW('03.Muestra'!$D$8:$D$42))+1,""),ROW()-56)),"")</f>
        <v/>
      </c>
      <c r="C75" s="174"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5" t="str" cm="1">
        <f t="array" ref="A76">IFERROR(INDEX('03.Muestra'!$B$8:$B$42,SMALL(IF("Página Web"='03.Muestra'!$D$8:$D$42,ROW('03.Muestra'!$B$8:$B$42)-MIN(ROW('03.Muestra'!$D$8:$D$42))+1,""),ROW()-56)),"")</f>
        <v/>
      </c>
      <c r="B76" s="174" t="str" cm="1">
        <f t="array" ref="B76">IFERROR(INDEX('03.Muestra'!$C$8:$C$42,SMALL(IF("Página Web"='03.Muestra'!$D$8:$D$42,ROW('03.Muestra'!$C$8:$C$42)-MIN(ROW('03.Muestra'!$D$8:$D$42))+1,""),ROW()-56)),"")</f>
        <v/>
      </c>
      <c r="C76" s="174"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5" t="str" cm="1">
        <f t="array" ref="A77">IFERROR(INDEX('03.Muestra'!$B$8:$B$42,SMALL(IF("Página Web"='03.Muestra'!$D$8:$D$42,ROW('03.Muestra'!$B$8:$B$42)-MIN(ROW('03.Muestra'!$D$8:$D$42))+1,""),ROW()-56)),"")</f>
        <v/>
      </c>
      <c r="B77" s="174" t="str" cm="1">
        <f t="array" ref="B77">IFERROR(INDEX('03.Muestra'!$C$8:$C$42,SMALL(IF("Página Web"='03.Muestra'!$D$8:$D$42,ROW('03.Muestra'!$C$8:$C$42)-MIN(ROW('03.Muestra'!$D$8:$D$42))+1,""),ROW()-56)),"")</f>
        <v/>
      </c>
      <c r="C77" s="174"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5" t="str" cm="1">
        <f t="array" ref="A78">IFERROR(INDEX('03.Muestra'!$B$8:$B$42,SMALL(IF("Página Web"='03.Muestra'!$D$8:$D$42,ROW('03.Muestra'!$B$8:$B$42)-MIN(ROW('03.Muestra'!$D$8:$D$42))+1,""),ROW()-56)),"")</f>
        <v/>
      </c>
      <c r="B78" s="174" t="str" cm="1">
        <f t="array" ref="B78">IFERROR(INDEX('03.Muestra'!$C$8:$C$42,SMALL(IF("Página Web"='03.Muestra'!$D$8:$D$42,ROW('03.Muestra'!$C$8:$C$42)-MIN(ROW('03.Muestra'!$D$8:$D$42))+1,""),ROW()-56)),"")</f>
        <v/>
      </c>
      <c r="C78" s="174"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5" t="str" cm="1">
        <f t="array" ref="A79">IFERROR(INDEX('03.Muestra'!$B$8:$B$42,SMALL(IF("Página Web"='03.Muestra'!$D$8:$D$42,ROW('03.Muestra'!$B$8:$B$42)-MIN(ROW('03.Muestra'!$D$8:$D$42))+1,""),ROW()-56)),"")</f>
        <v/>
      </c>
      <c r="B79" s="174" t="str" cm="1">
        <f t="array" ref="B79">IFERROR(INDEX('03.Muestra'!$C$8:$C$42,SMALL(IF("Página Web"='03.Muestra'!$D$8:$D$42,ROW('03.Muestra'!$C$8:$C$42)-MIN(ROW('03.Muestra'!$D$8:$D$42))+1,""),ROW()-56)),"")</f>
        <v/>
      </c>
      <c r="C79" s="174"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5" t="str" cm="1">
        <f t="array" ref="A80">IFERROR(INDEX('03.Muestra'!$B$8:$B$42,SMALL(IF("Página Web"='03.Muestra'!$D$8:$D$42,ROW('03.Muestra'!$B$8:$B$42)-MIN(ROW('03.Muestra'!$D$8:$D$42))+1,""),ROW()-56)),"")</f>
        <v/>
      </c>
      <c r="B80" s="174" t="str" cm="1">
        <f t="array" ref="B80">IFERROR(INDEX('03.Muestra'!$C$8:$C$42,SMALL(IF("Página Web"='03.Muestra'!$D$8:$D$42,ROW('03.Muestra'!$C$8:$C$42)-MIN(ROW('03.Muestra'!$D$8:$D$42))+1,""),ROW()-56)),"")</f>
        <v/>
      </c>
      <c r="C80" s="174"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5" t="str" cm="1">
        <f t="array" ref="A81">IFERROR(INDEX('03.Muestra'!$B$8:$B$42,SMALL(IF("Página Web"='03.Muestra'!$D$8:$D$42,ROW('03.Muestra'!$B$8:$B$42)-MIN(ROW('03.Muestra'!$D$8:$D$42))+1,""),ROW()-56)),"")</f>
        <v/>
      </c>
      <c r="B81" s="174" t="str" cm="1">
        <f t="array" ref="B81">IFERROR(INDEX('03.Muestra'!$C$8:$C$42,SMALL(IF("Página Web"='03.Muestra'!$D$8:$D$42,ROW('03.Muestra'!$C$8:$C$42)-MIN(ROW('03.Muestra'!$D$8:$D$42))+1,""),ROW()-56)),"")</f>
        <v/>
      </c>
      <c r="C81" s="174"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5" t="str" cm="1">
        <f t="array" ref="A82">IFERROR(INDEX('03.Muestra'!$B$8:$B$42,SMALL(IF("Página Web"='03.Muestra'!$D$8:$D$42,ROW('03.Muestra'!$B$8:$B$42)-MIN(ROW('03.Muestra'!$D$8:$D$42))+1,""),ROW()-56)),"")</f>
        <v/>
      </c>
      <c r="B82" s="174" t="str" cm="1">
        <f t="array" ref="B82">IFERROR(INDEX('03.Muestra'!$C$8:$C$42,SMALL(IF("Página Web"='03.Muestra'!$D$8:$D$42,ROW('03.Muestra'!$C$8:$C$42)-MIN(ROW('03.Muestra'!$D$8:$D$42))+1,""),ROW()-56)),"")</f>
        <v/>
      </c>
      <c r="C82" s="174"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5" t="str" cm="1">
        <f t="array" ref="A83">IFERROR(INDEX('03.Muestra'!$B$8:$B$42,SMALL(IF("Página Web"='03.Muestra'!$D$8:$D$42,ROW('03.Muestra'!$B$8:$B$42)-MIN(ROW('03.Muestra'!$D$8:$D$42))+1,""),ROW()-56)),"")</f>
        <v/>
      </c>
      <c r="B83" s="174" t="str" cm="1">
        <f t="array" ref="B83">IFERROR(INDEX('03.Muestra'!$C$8:$C$42,SMALL(IF("Página Web"='03.Muestra'!$D$8:$D$42,ROW('03.Muestra'!$C$8:$C$42)-MIN(ROW('03.Muestra'!$D$8:$D$42))+1,""),ROW()-56)),"")</f>
        <v/>
      </c>
      <c r="C83" s="174"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5" t="str" cm="1">
        <f t="array" ref="A84">IFERROR(INDEX('03.Muestra'!$B$8:$B$42,SMALL(IF("Página Web"='03.Muestra'!$D$8:$D$42,ROW('03.Muestra'!$B$8:$B$42)-MIN(ROW('03.Muestra'!$D$8:$D$42))+1,""),ROW()-56)),"")</f>
        <v/>
      </c>
      <c r="B84" s="174" t="str" cm="1">
        <f t="array" ref="B84">IFERROR(INDEX('03.Muestra'!$C$8:$C$42,SMALL(IF("Página Web"='03.Muestra'!$D$8:$D$42,ROW('03.Muestra'!$C$8:$C$42)-MIN(ROW('03.Muestra'!$D$8:$D$42))+1,""),ROW()-56)),"")</f>
        <v/>
      </c>
      <c r="C84" s="174"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5" t="str" cm="1">
        <f t="array" ref="A85">IFERROR(INDEX('03.Muestra'!$B$8:$B$42,SMALL(IF("Página Web"='03.Muestra'!$D$8:$D$42,ROW('03.Muestra'!$B$8:$B$42)-MIN(ROW('03.Muestra'!$D$8:$D$42))+1,""),ROW()-56)),"")</f>
        <v/>
      </c>
      <c r="B85" s="174" t="str" cm="1">
        <f t="array" ref="B85">IFERROR(INDEX('03.Muestra'!$C$8:$C$42,SMALL(IF("Página Web"='03.Muestra'!$D$8:$D$42,ROW('03.Muestra'!$C$8:$C$42)-MIN(ROW('03.Muestra'!$D$8:$D$42))+1,""),ROW()-56)),"")</f>
        <v/>
      </c>
      <c r="C85" s="174"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5" t="str" cm="1">
        <f t="array" ref="A86">IFERROR(INDEX('03.Muestra'!$B$8:$B$42,SMALL(IF("Página Web"='03.Muestra'!$D$8:$D$42,ROW('03.Muestra'!$B$8:$B$42)-MIN(ROW('03.Muestra'!$D$8:$D$42))+1,""),ROW()-56)),"")</f>
        <v/>
      </c>
      <c r="B86" s="174" t="str" cm="1">
        <f t="array" ref="B86">IFERROR(INDEX('03.Muestra'!$C$8:$C$42,SMALL(IF("Página Web"='03.Muestra'!$D$8:$D$42,ROW('03.Muestra'!$C$8:$C$42)-MIN(ROW('03.Muestra'!$D$8:$D$42))+1,""),ROW()-56)),"")</f>
        <v/>
      </c>
      <c r="C86" s="174"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5" t="str" cm="1">
        <f t="array" ref="A87">IFERROR(INDEX('03.Muestra'!$B$8:$B$42,SMALL(IF("Página Web"='03.Muestra'!$D$8:$D$42,ROW('03.Muestra'!$B$8:$B$42)-MIN(ROW('03.Muestra'!$D$8:$D$42))+1,""),ROW()-56)),"")</f>
        <v/>
      </c>
      <c r="B87" s="174" t="str" cm="1">
        <f t="array" ref="B87">IFERROR(INDEX('03.Muestra'!$C$8:$C$42,SMALL(IF("Página Web"='03.Muestra'!$D$8:$D$42,ROW('03.Muestra'!$C$8:$C$42)-MIN(ROW('03.Muestra'!$D$8:$D$42))+1,""),ROW()-56)),"")</f>
        <v/>
      </c>
      <c r="C87" s="174"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5" t="str" cm="1">
        <f t="array" ref="A88">IFERROR(INDEX('03.Muestra'!$B$8:$B$42,SMALL(IF("Página Web"='03.Muestra'!$D$8:$D$42,ROW('03.Muestra'!$B$8:$B$42)-MIN(ROW('03.Muestra'!$D$8:$D$42))+1,""),ROW()-56)),"")</f>
        <v/>
      </c>
      <c r="B88" s="174" t="str" cm="1">
        <f t="array" ref="B88">IFERROR(INDEX('03.Muestra'!$C$8:$C$42,SMALL(IF("Página Web"='03.Muestra'!$D$8:$D$42,ROW('03.Muestra'!$C$8:$C$42)-MIN(ROW('03.Muestra'!$D$8:$D$42))+1,""),ROW()-56)),"")</f>
        <v/>
      </c>
      <c r="C88" s="174"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5" t="str" cm="1">
        <f t="array" ref="A89">IFERROR(INDEX('03.Muestra'!$B$8:$B$42,SMALL(IF("Página Web"='03.Muestra'!$D$8:$D$42,ROW('03.Muestra'!$B$8:$B$42)-MIN(ROW('03.Muestra'!$D$8:$D$42))+1,""),ROW()-56)),"")</f>
        <v/>
      </c>
      <c r="B89" s="174" t="str" cm="1">
        <f t="array" ref="B89">IFERROR(INDEX('03.Muestra'!$C$8:$C$42,SMALL(IF("Página Web"='03.Muestra'!$D$8:$D$42,ROW('03.Muestra'!$C$8:$C$42)-MIN(ROW('03.Muestra'!$D$8:$D$42))+1,""),ROW()-56)),"")</f>
        <v/>
      </c>
      <c r="C89" s="174"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5" t="str" cm="1">
        <f t="array" ref="A90">IFERROR(INDEX('03.Muestra'!$B$8:$B$42,SMALL(IF("Página Web"='03.Muestra'!$D$8:$D$42,ROW('03.Muestra'!$B$8:$B$42)-MIN(ROW('03.Muestra'!$D$8:$D$42))+1,""),ROW()-56)),"")</f>
        <v/>
      </c>
      <c r="B90" s="174" t="str" cm="1">
        <f t="array" ref="B90">IFERROR(INDEX('03.Muestra'!$C$8:$C$42,SMALL(IF("Página Web"='03.Muestra'!$D$8:$D$42,ROW('03.Muestra'!$C$8:$C$42)-MIN(ROW('03.Muestra'!$D$8:$D$42))+1,""),ROW()-56)),"")</f>
        <v/>
      </c>
      <c r="C90" s="174"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5" t="str" cm="1">
        <f t="array" ref="A91">IFERROR(INDEX('03.Muestra'!$B$8:$B$42,SMALL(IF("Página Web"='03.Muestra'!$D$8:$D$42,ROW('03.Muestra'!$B$8:$B$42)-MIN(ROW('03.Muestra'!$D$8:$D$42))+1,""),ROW()-56)),"")</f>
        <v/>
      </c>
      <c r="B91" s="174" t="str" cm="1">
        <f t="array" ref="B91">IFERROR(INDEX('03.Muestra'!$C$8:$C$42,SMALL(IF("Página Web"='03.Muestra'!$D$8:$D$42,ROW('03.Muestra'!$C$8:$C$42)-MIN(ROW('03.Muestra'!$D$8:$D$42))+1,""),ROW()-56)),"")</f>
        <v/>
      </c>
      <c r="C91" s="174"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2" t="s">
        <v>98</v>
      </c>
      <c r="B94" s="23" t="s">
        <v>90</v>
      </c>
      <c r="C94" s="24" t="s">
        <v>108</v>
      </c>
      <c r="D94" s="25" t="s">
        <v>100</v>
      </c>
      <c r="E94" s="93"/>
      <c r="K94" s="18"/>
      <c r="L94" s="18"/>
      <c r="M94" s="18"/>
      <c r="N94" s="18"/>
      <c r="O94" s="18"/>
      <c r="P94" s="18"/>
      <c r="Q94" s="18"/>
      <c r="R94" s="18"/>
      <c r="S94" s="18"/>
      <c r="T94" s="18"/>
      <c r="U94" s="18"/>
      <c r="V94" s="18"/>
      <c r="W94" s="18"/>
      <c r="X94" s="18"/>
      <c r="Y94" s="18"/>
    </row>
    <row r="95" spans="1:25" ht="12" customHeight="1">
      <c r="A95" s="175" cm="1">
        <f t="array" ref="A95">IFERROR(INDEX('03.Muestra'!$B$8:$B$42,SMALL(IF("Página Web"='03.Muestra'!$D$8:$D$42,ROW('03.Muestra'!$B$8:$B$42)-MIN(ROW('03.Muestra'!$D$8:$D$42))+1,""),ROW()-94)),"")</f>
        <v>1</v>
      </c>
      <c r="B95" s="174" t="str" cm="1">
        <f t="array" ref="B95">IFERROR(INDEX('03.Muestra'!$C$8:$C$42,SMALL(IF("Página Web"='03.Muestra'!$D$8:$D$42,ROW('03.Muestra'!$C$8:$C$42)-MIN(ROW('03.Muestra'!$D$8:$D$42))+1,""),ROW()-94)),"")</f>
        <v>Inicio</v>
      </c>
      <c r="C95" s="174" t="str" cm="1">
        <f t="array" ref="C95">IFERROR(INDEX('03.Muestra'!$F$8:$F$42,SMALL(IF("Página Web"='03.Muestra'!$D$8:$D$42,ROW('03.Muestra'!$F$8:$F$42)-MIN(ROW('03.Muestra'!$D$8:$D$42))+1,""),ROW()-94)),"")</f>
        <v>https://www.comunidad.madrid/transparencia/</v>
      </c>
      <c r="D95" s="99" t="s">
        <v>103</v>
      </c>
      <c r="E95" s="79" t="str">
        <f t="shared" ref="E95:E129" si="4">IF(D95&lt;&gt;"",IF(AND(B95&lt;&gt;"",C95&lt;&gt;""),"","ERR"),"")</f>
        <v/>
      </c>
      <c r="F95" s="86" t="s">
        <v>101</v>
      </c>
      <c r="G95" s="87" t="s">
        <v>102</v>
      </c>
      <c r="H95" s="88" t="s">
        <v>103</v>
      </c>
      <c r="I95" s="89" t="s">
        <v>93</v>
      </c>
      <c r="J95" s="90" t="s">
        <v>91</v>
      </c>
      <c r="K95" s="18"/>
      <c r="L95" s="18"/>
      <c r="M95" s="18"/>
      <c r="N95" s="18"/>
      <c r="O95" s="18"/>
      <c r="P95" s="18"/>
      <c r="Q95" s="18"/>
      <c r="R95" s="18"/>
      <c r="S95" s="18"/>
      <c r="T95" s="18"/>
      <c r="U95" s="18"/>
      <c r="V95" s="18"/>
      <c r="W95" s="18"/>
      <c r="X95" s="18"/>
      <c r="Y95" s="18"/>
    </row>
    <row r="96" spans="1:25" ht="12" customHeight="1">
      <c r="A96" s="175" cm="1">
        <f t="array" ref="A96">IFERROR(INDEX('03.Muestra'!$B$8:$B$42,SMALL(IF("Página Web"='03.Muestra'!$D$8:$D$42,ROW('03.Muestra'!$B$8:$B$42)-MIN(ROW('03.Muestra'!$D$8:$D$42))+1,""),ROW()-94)),"")</f>
        <v>2</v>
      </c>
      <c r="B96" s="174" t="str" cm="1">
        <f t="array" ref="B96">IFERROR(INDEX('03.Muestra'!$C$8:$C$42,SMALL(IF("Página Web"='03.Muestra'!$D$8:$D$42,ROW('03.Muestra'!$C$8:$C$42)-MIN(ROW('03.Muestra'!$D$8:$D$42))+1,""),ROW()-94)),"")</f>
        <v>Aviso legal</v>
      </c>
      <c r="C96" s="174" t="str" cm="1">
        <f t="array" ref="C96">IFERROR(INDEX('03.Muestra'!$F$8:$F$42,SMALL(IF("Página Web"='03.Muestra'!$D$8:$D$42,ROW('03.Muestra'!$F$8:$F$42)-MIN(ROW('03.Muestra'!$D$8:$D$42))+1,""),ROW()-94)),"")</f>
        <v>https://www.comunidad.madrid/transparencia/aviso-legal</v>
      </c>
      <c r="D96" s="99" t="s">
        <v>103</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77">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5" cm="1">
        <f t="array" ref="A97">IFERROR(INDEX('03.Muestra'!$B$8:$B$42,SMALL(IF("Página Web"='03.Muestra'!$D$8:$D$42,ROW('03.Muestra'!$B$8:$B$42)-MIN(ROW('03.Muestra'!$D$8:$D$42))+1,""),ROW()-94)),"")</f>
        <v>3</v>
      </c>
      <c r="B97" s="174" t="str" cm="1">
        <f t="array" ref="B97">IFERROR(INDEX('03.Muestra'!$C$8:$C$42,SMALL(IF("Página Web"='03.Muestra'!$D$8:$D$42,ROW('03.Muestra'!$C$8:$C$42)-MIN(ROW('03.Muestra'!$D$8:$D$42))+1,""),ROW()-94)),"")</f>
        <v>Accesibilidad</v>
      </c>
      <c r="C97" s="174" t="str" cm="1">
        <f t="array" ref="C97">IFERROR(INDEX('03.Muestra'!$F$8:$F$42,SMALL(IF("Página Web"='03.Muestra'!$D$8:$D$42,ROW('03.Muestra'!$F$8:$F$42)-MIN(ROW('03.Muestra'!$D$8:$D$42))+1,""),ROW()-94)),"")</f>
        <v>https://www.comunidad.madrid/transparencia/declaracion-accesibilidad</v>
      </c>
      <c r="D97" s="99" t="s">
        <v>103</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5" cm="1">
        <f t="array" ref="A98">IFERROR(INDEX('03.Muestra'!$B$8:$B$42,SMALL(IF("Página Web"='03.Muestra'!$D$8:$D$42,ROW('03.Muestra'!$B$8:$B$42)-MIN(ROW('03.Muestra'!$D$8:$D$42))+1,""),ROW()-94)),"")</f>
        <v>4</v>
      </c>
      <c r="B98" s="174" t="str" cm="1">
        <f t="array" ref="B98">IFERROR(INDEX('03.Muestra'!$C$8:$C$42,SMALL(IF("Página Web"='03.Muestra'!$D$8:$D$42,ROW('03.Muestra'!$C$8:$C$42)-MIN(ROW('03.Muestra'!$D$8:$D$42))+1,""),ROW()-94)),"")</f>
        <v>Tranparencia</v>
      </c>
      <c r="C98" s="174" t="str" cm="1">
        <f t="array" ref="C98">IFERROR(INDEX('03.Muestra'!$F$8:$F$42,SMALL(IF("Página Web"='03.Muestra'!$D$8:$D$42,ROW('03.Muestra'!$F$8:$F$42)-MIN(ROW('03.Muestra'!$D$8:$D$42))+1,""),ROW()-94)),"")</f>
        <v>https://www.comunidad.madrid/transparencia/que-es-transparencia</v>
      </c>
      <c r="D98" s="99" t="s">
        <v>103</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5" cm="1">
        <f t="array" ref="A99">IFERROR(INDEX('03.Muestra'!$B$8:$B$42,SMALL(IF("Página Web"='03.Muestra'!$D$8:$D$42,ROW('03.Muestra'!$B$8:$B$42)-MIN(ROW('03.Muestra'!$D$8:$D$42))+1,""),ROW()-94)),"")</f>
        <v>5</v>
      </c>
      <c r="B99" s="174" t="str" cm="1">
        <f t="array" ref="B99">IFERROR(INDEX('03.Muestra'!$C$8:$C$42,SMALL(IF("Página Web"='03.Muestra'!$D$8:$D$42,ROW('03.Muestra'!$C$8:$C$42)-MIN(ROW('03.Muestra'!$D$8:$D$42))+1,""),ROW()-94)),"")</f>
        <v>Organización</v>
      </c>
      <c r="C99" s="174" t="str" cm="1">
        <f t="array" ref="C99">IFERROR(INDEX('03.Muestra'!$F$8:$F$42,SMALL(IF("Página Web"='03.Muestra'!$D$8:$D$42,ROW('03.Muestra'!$F$8:$F$42)-MIN(ROW('03.Muestra'!$D$8:$D$42))+1,""),ROW()-94)),"")</f>
        <v>https://www.comunidad.madrid/transparencia/organizacion-recursos/organizacion</v>
      </c>
      <c r="D99" s="99" t="s">
        <v>103</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5" cm="1">
        <f t="array" ref="A100">IFERROR(INDEX('03.Muestra'!$B$8:$B$42,SMALL(IF("Página Web"='03.Muestra'!$D$8:$D$42,ROW('03.Muestra'!$B$8:$B$42)-MIN(ROW('03.Muestra'!$D$8:$D$42))+1,""),ROW()-94)),"")</f>
        <v>6</v>
      </c>
      <c r="B100" s="174" t="str" cm="1">
        <f t="array" ref="B100">IFERROR(INDEX('03.Muestra'!$C$8:$C$42,SMALL(IF("Página Web"='03.Muestra'!$D$8:$D$42,ROW('03.Muestra'!$C$8:$C$42)-MIN(ROW('03.Muestra'!$D$8:$D$42))+1,""),ROW()-94)),"")</f>
        <v>Quejas</v>
      </c>
      <c r="C100" s="174" t="str" cm="1">
        <f t="array" ref="C100">IFERROR(INDEX('03.Muestra'!$F$8:$F$42,SMALL(IF("Página Web"='03.Muestra'!$D$8:$D$42,ROW('03.Muestra'!$F$8:$F$42)-MIN(ROW('03.Muestra'!$D$8:$D$42))+1,""),ROW()-94)),"")</f>
        <v>https://www.comunidad.madrid/transparencia/quejas-y-reclamaciones</v>
      </c>
      <c r="D100" s="99" t="s">
        <v>103</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5" cm="1">
        <f t="array" ref="A101">IFERROR(INDEX('03.Muestra'!$B$8:$B$42,SMALL(IF("Página Web"='03.Muestra'!$D$8:$D$42,ROW('03.Muestra'!$B$8:$B$42)-MIN(ROW('03.Muestra'!$D$8:$D$42))+1,""),ROW()-94)),"")</f>
        <v>7</v>
      </c>
      <c r="B101" s="174" t="str" cm="1">
        <f t="array" ref="B101">IFERROR(INDEX('03.Muestra'!$C$8:$C$42,SMALL(IF("Página Web"='03.Muestra'!$D$8:$D$42,ROW('03.Muestra'!$C$8:$C$42)-MIN(ROW('03.Muestra'!$D$8:$D$42))+1,""),ROW()-94)),"")</f>
        <v>Contratos</v>
      </c>
      <c r="C101" s="174" t="str" cm="1">
        <f t="array" ref="C101">IFERROR(INDEX('03.Muestra'!$F$8:$F$42,SMALL(IF("Página Web"='03.Muestra'!$D$8:$D$42,ROW('03.Muestra'!$F$8:$F$42)-MIN(ROW('03.Muestra'!$D$8:$D$42))+1,""),ROW()-94)),"")</f>
        <v>https://www.comunidad.madrid/transparencia/contratos</v>
      </c>
      <c r="D101" s="99" t="s">
        <v>103</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5" cm="1">
        <f t="array" ref="A102">IFERROR(INDEX('03.Muestra'!$B$8:$B$42,SMALL(IF("Página Web"='03.Muestra'!$D$8:$D$42,ROW('03.Muestra'!$B$8:$B$42)-MIN(ROW('03.Muestra'!$D$8:$D$42))+1,""),ROW()-94)),"")</f>
        <v>8</v>
      </c>
      <c r="B102" s="174" t="str" cm="1">
        <f t="array" ref="B102">IFERROR(INDEX('03.Muestra'!$C$8:$C$42,SMALL(IF("Página Web"='03.Muestra'!$D$8:$D$42,ROW('03.Muestra'!$C$8:$C$42)-MIN(ROW('03.Muestra'!$D$8:$D$42))+1,""),ROW()-94)),"")</f>
        <v>Consulta</v>
      </c>
      <c r="C102" s="174" t="str" cm="1">
        <f t="array" ref="C102">IFERROR(INDEX('03.Muestra'!$F$8:$F$42,SMALL(IF("Página Web"='03.Muestra'!$D$8:$D$42,ROW('03.Muestra'!$F$8:$F$42)-MIN(ROW('03.Muestra'!$D$8:$D$42))+1,""),ROW()-94)),"")</f>
        <v>https://www.comunidad.madrid/transparencia/normativa-planificacion/consulta-publica</v>
      </c>
      <c r="D102" s="99" t="s">
        <v>103</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5" cm="1">
        <f t="array" ref="A103">IFERROR(INDEX('03.Muestra'!$B$8:$B$42,SMALL(IF("Página Web"='03.Muestra'!$D$8:$D$42,ROW('03.Muestra'!$B$8:$B$42)-MIN(ROW('03.Muestra'!$D$8:$D$42))+1,""),ROW()-94)),"")</f>
        <v>9</v>
      </c>
      <c r="B103" s="174" t="str" cm="1">
        <f t="array" ref="B103">IFERROR(INDEX('03.Muestra'!$C$8:$C$42,SMALL(IF("Página Web"='03.Muestra'!$D$8:$D$42,ROW('03.Muestra'!$C$8:$C$42)-MIN(ROW('03.Muestra'!$D$8:$D$42))+1,""),ROW()-94)),"")</f>
        <v>Proyecto</v>
      </c>
      <c r="C103" s="174" t="str" cm="1">
        <f t="array" ref="C103">IFERROR(INDEX('03.Muestra'!$F$8:$F$42,SMALL(IF("Página Web"='03.Muestra'!$D$8:$D$42,ROW('03.Muestra'!$F$8:$F$42)-MIN(ROW('03.Muestra'!$D$8:$D$42))+1,""),ROW()-94)),"")</f>
        <v>https://www.comunidad.madrid/transparencia/proyecto-orden-que-se-crea-comision-farmacia-y-productos-sanitarios-cm-y-se-establece-su-composicion</v>
      </c>
      <c r="D103" s="99" t="s">
        <v>103</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5" cm="1">
        <f t="array" ref="A104">IFERROR(INDEX('03.Muestra'!$B$8:$B$42,SMALL(IF("Página Web"='03.Muestra'!$D$8:$D$42,ROW('03.Muestra'!$B$8:$B$42)-MIN(ROW('03.Muestra'!$D$8:$D$42))+1,""),ROW()-94)),"")</f>
        <v>10</v>
      </c>
      <c r="B104" s="174" t="str" cm="1">
        <f t="array" ref="B104">IFERROR(INDEX('03.Muestra'!$C$8:$C$42,SMALL(IF("Página Web"='03.Muestra'!$D$8:$D$42,ROW('03.Muestra'!$C$8:$C$42)-MIN(ROW('03.Muestra'!$D$8:$D$42))+1,""),ROW()-94)),"")</f>
        <v>Planes y Programas</v>
      </c>
      <c r="C104" s="174" t="str" cm="1">
        <f t="array" ref="C104">IFERROR(INDEX('03.Muestra'!$F$8:$F$42,SMALL(IF("Página Web"='03.Muestra'!$D$8:$D$42,ROW('03.Muestra'!$F$8:$F$42)-MIN(ROW('03.Muestra'!$D$8:$D$42))+1,""),ROW()-94)),"")</f>
        <v>https://www.comunidad.madrid/transparencia/normativa-planificacion/planes-programas</v>
      </c>
      <c r="D104" s="99" t="s">
        <v>103</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5" cm="1">
        <f t="array" ref="A105">IFERROR(INDEX('03.Muestra'!$B$8:$B$42,SMALL(IF("Página Web"='03.Muestra'!$D$8:$D$42,ROW('03.Muestra'!$B$8:$B$42)-MIN(ROW('03.Muestra'!$D$8:$D$42))+1,""),ROW()-94)),"")</f>
        <v>11</v>
      </c>
      <c r="B105" s="174" t="str" cm="1">
        <f t="array" ref="B105">IFERROR(INDEX('03.Muestra'!$C$8:$C$42,SMALL(IF("Página Web"='03.Muestra'!$D$8:$D$42,ROW('03.Muestra'!$C$8:$C$42)-MIN(ROW('03.Muestra'!$D$8:$D$42))+1,""),ROW()-94)),"")</f>
        <v>Estrategia</v>
      </c>
      <c r="C105" s="174" t="str" cm="1">
        <f t="array" ref="C105">IFERROR(INDEX('03.Muestra'!$F$8:$F$42,SMALL(IF("Página Web"='03.Muestra'!$D$8:$D$42,ROW('03.Muestra'!$F$8:$F$42)-MIN(ROW('03.Muestra'!$D$8:$D$42))+1,""),ROW()-94)),"")</f>
        <v>https://www.comunidad.madrid/transparencia/informacion-institucional/planes-programas/estrategia-seguridad-del-paciente-del-servicio-madrileno</v>
      </c>
      <c r="D105" s="99" t="s">
        <v>103</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5" cm="1">
        <f t="array" ref="A106">IFERROR(INDEX('03.Muestra'!$B$8:$B$42,SMALL(IF("Página Web"='03.Muestra'!$D$8:$D$42,ROW('03.Muestra'!$B$8:$B$42)-MIN(ROW('03.Muestra'!$D$8:$D$42))+1,""),ROW()-94)),"")</f>
        <v>12</v>
      </c>
      <c r="B106" s="174" t="str" cm="1">
        <f t="array" ref="B106">IFERROR(INDEX('03.Muestra'!$C$8:$C$42,SMALL(IF("Página Web"='03.Muestra'!$D$8:$D$42,ROW('03.Muestra'!$C$8:$C$42)-MIN(ROW('03.Muestra'!$D$8:$D$42))+1,""),ROW()-94)),"")</f>
        <v>Huella</v>
      </c>
      <c r="C106" s="174" t="str" cm="1">
        <f t="array" ref="C106">IFERROR(INDEX('03.Muestra'!$F$8:$F$42,SMALL(IF("Página Web"='03.Muestra'!$D$8:$D$42,ROW('03.Muestra'!$F$8:$F$42)-MIN(ROW('03.Muestra'!$D$8:$D$42))+1,""),ROW()-94)),"")</f>
        <v>https://www.comunidad.madrid/transparencia/normativa-planificacion/huella-normativa</v>
      </c>
      <c r="D106" s="99" t="s">
        <v>103</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5" cm="1">
        <f t="array" ref="A107">IFERROR(INDEX('03.Muestra'!$B$8:$B$42,SMALL(IF("Página Web"='03.Muestra'!$D$8:$D$42,ROW('03.Muestra'!$B$8:$B$42)-MIN(ROW('03.Muestra'!$D$8:$D$42))+1,""),ROW()-94)),"")</f>
        <v>13</v>
      </c>
      <c r="B107" s="174" t="str" cm="1">
        <f t="array" ref="B107">IFERROR(INDEX('03.Muestra'!$C$8:$C$42,SMALL(IF("Página Web"='03.Muestra'!$D$8:$D$42,ROW('03.Muestra'!$C$8:$C$42)-MIN(ROW('03.Muestra'!$D$8:$D$42))+1,""),ROW()-94)),"")</f>
        <v>Decreto</v>
      </c>
      <c r="C107" s="174" t="str" cm="1">
        <f t="array" ref="C107">IFERROR(INDEX('03.Muestra'!$F$8:$F$42,SMALL(IF("Página Web"='03.Muestra'!$D$8:$D$42,ROW('03.Muestra'!$F$8:$F$42)-MIN(ROW('03.Muestra'!$D$8:$D$42))+1,""),ROW()-94)),"")</f>
        <v>https://www.comunidad.madrid/transparencia/decreto-del-consejo-gobierno-que-se-establece-estructura-organica-consejeria-familia-juventud-y</v>
      </c>
      <c r="D107" s="99" t="s">
        <v>103</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5" cm="1">
        <f t="array" ref="A108">IFERROR(INDEX('03.Muestra'!$B$8:$B$42,SMALL(IF("Página Web"='03.Muestra'!$D$8:$D$42,ROW('03.Muestra'!$B$8:$B$42)-MIN(ROW('03.Muestra'!$D$8:$D$42))+1,""),ROW()-94)),"")</f>
        <v>14</v>
      </c>
      <c r="B108" s="174" t="str" cm="1">
        <f t="array" ref="B108">IFERROR(INDEX('03.Muestra'!$C$8:$C$42,SMALL(IF("Página Web"='03.Muestra'!$D$8:$D$42,ROW('03.Muestra'!$C$8:$C$42)-MIN(ROW('03.Muestra'!$D$8:$D$42))+1,""),ROW()-94)),"")</f>
        <v>Entidades Locales</v>
      </c>
      <c r="C108" s="174" t="str" cm="1">
        <f t="array" ref="C108">IFERROR(INDEX('03.Muestra'!$F$8:$F$42,SMALL(IF("Página Web"='03.Muestra'!$D$8:$D$42,ROW('03.Muestra'!$F$8:$F$42)-MIN(ROW('03.Muestra'!$D$8:$D$42))+1,""),ROW()-94)),"")</f>
        <v>https://www.comunidad.madrid/transparencia/entidades-locales</v>
      </c>
      <c r="D108" s="99" t="s">
        <v>103</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5" t="str" cm="1">
        <f t="array" ref="A109">IFERROR(INDEX('03.Muestra'!$B$8:$B$42,SMALL(IF("Página Web"='03.Muestra'!$D$8:$D$42,ROW('03.Muestra'!$B$8:$B$42)-MIN(ROW('03.Muestra'!$D$8:$D$42))+1,""),ROW()-94)),"")</f>
        <v/>
      </c>
      <c r="B109" s="174" t="str" cm="1">
        <f t="array" ref="B109">IFERROR(INDEX('03.Muestra'!$C$8:$C$42,SMALL(IF("Página Web"='03.Muestra'!$D$8:$D$42,ROW('03.Muestra'!$C$8:$C$42)-MIN(ROW('03.Muestra'!$D$8:$D$42))+1,""),ROW()-94)),"")</f>
        <v/>
      </c>
      <c r="C109" s="174"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5" t="str" cm="1">
        <f t="array" ref="A110">IFERROR(INDEX('03.Muestra'!$B$8:$B$42,SMALL(IF("Página Web"='03.Muestra'!$D$8:$D$42,ROW('03.Muestra'!$B$8:$B$42)-MIN(ROW('03.Muestra'!$D$8:$D$42))+1,""),ROW()-94)),"")</f>
        <v/>
      </c>
      <c r="B110" s="174" t="str" cm="1">
        <f t="array" ref="B110">IFERROR(INDEX('03.Muestra'!$C$8:$C$42,SMALL(IF("Página Web"='03.Muestra'!$D$8:$D$42,ROW('03.Muestra'!$C$8:$C$42)-MIN(ROW('03.Muestra'!$D$8:$D$42))+1,""),ROW()-94)),"")</f>
        <v/>
      </c>
      <c r="C110" s="174"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5" t="str" cm="1">
        <f t="array" ref="A111">IFERROR(INDEX('03.Muestra'!$B$8:$B$42,SMALL(IF("Página Web"='03.Muestra'!$D$8:$D$42,ROW('03.Muestra'!$B$8:$B$42)-MIN(ROW('03.Muestra'!$D$8:$D$42))+1,""),ROW()-94)),"")</f>
        <v/>
      </c>
      <c r="B111" s="174" t="str" cm="1">
        <f t="array" ref="B111">IFERROR(INDEX('03.Muestra'!$C$8:$C$42,SMALL(IF("Página Web"='03.Muestra'!$D$8:$D$42,ROW('03.Muestra'!$C$8:$C$42)-MIN(ROW('03.Muestra'!$D$8:$D$42))+1,""),ROW()-94)),"")</f>
        <v/>
      </c>
      <c r="C111" s="174"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5" t="str" cm="1">
        <f t="array" ref="A112">IFERROR(INDEX('03.Muestra'!$B$8:$B$42,SMALL(IF("Página Web"='03.Muestra'!$D$8:$D$42,ROW('03.Muestra'!$B$8:$B$42)-MIN(ROW('03.Muestra'!$D$8:$D$42))+1,""),ROW()-94)),"")</f>
        <v/>
      </c>
      <c r="B112" s="174" t="str" cm="1">
        <f t="array" ref="B112">IFERROR(INDEX('03.Muestra'!$C$8:$C$42,SMALL(IF("Página Web"='03.Muestra'!$D$8:$D$42,ROW('03.Muestra'!$C$8:$C$42)-MIN(ROW('03.Muestra'!$D$8:$D$42))+1,""),ROW()-94)),"")</f>
        <v/>
      </c>
      <c r="C112" s="174"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5" t="str" cm="1">
        <f t="array" ref="A113">IFERROR(INDEX('03.Muestra'!$B$8:$B$42,SMALL(IF("Página Web"='03.Muestra'!$D$8:$D$42,ROW('03.Muestra'!$B$8:$B$42)-MIN(ROW('03.Muestra'!$D$8:$D$42))+1,""),ROW()-94)),"")</f>
        <v/>
      </c>
      <c r="B113" s="174" t="str" cm="1">
        <f t="array" ref="B113">IFERROR(INDEX('03.Muestra'!$C$8:$C$42,SMALL(IF("Página Web"='03.Muestra'!$D$8:$D$42,ROW('03.Muestra'!$C$8:$C$42)-MIN(ROW('03.Muestra'!$D$8:$D$42))+1,""),ROW()-94)),"")</f>
        <v/>
      </c>
      <c r="C113" s="174"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5" t="str" cm="1">
        <f t="array" ref="A114">IFERROR(INDEX('03.Muestra'!$B$8:$B$42,SMALL(IF("Página Web"='03.Muestra'!$D$8:$D$42,ROW('03.Muestra'!$B$8:$B$42)-MIN(ROW('03.Muestra'!$D$8:$D$42))+1,""),ROW()-94)),"")</f>
        <v/>
      </c>
      <c r="B114" s="174" t="str" cm="1">
        <f t="array" ref="B114">IFERROR(INDEX('03.Muestra'!$C$8:$C$42,SMALL(IF("Página Web"='03.Muestra'!$D$8:$D$42,ROW('03.Muestra'!$C$8:$C$42)-MIN(ROW('03.Muestra'!$D$8:$D$42))+1,""),ROW()-94)),"")</f>
        <v/>
      </c>
      <c r="C114" s="174"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5" t="str" cm="1">
        <f t="array" ref="A115">IFERROR(INDEX('03.Muestra'!$B$8:$B$42,SMALL(IF("Página Web"='03.Muestra'!$D$8:$D$42,ROW('03.Muestra'!$B$8:$B$42)-MIN(ROW('03.Muestra'!$D$8:$D$42))+1,""),ROW()-94)),"")</f>
        <v/>
      </c>
      <c r="B115" s="174" t="str" cm="1">
        <f t="array" ref="B115">IFERROR(INDEX('03.Muestra'!$C$8:$C$42,SMALL(IF("Página Web"='03.Muestra'!$D$8:$D$42,ROW('03.Muestra'!$C$8:$C$42)-MIN(ROW('03.Muestra'!$D$8:$D$42))+1,""),ROW()-94)),"")</f>
        <v/>
      </c>
      <c r="C115" s="174"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5" t="str" cm="1">
        <f t="array" ref="A116">IFERROR(INDEX('03.Muestra'!$B$8:$B$42,SMALL(IF("Página Web"='03.Muestra'!$D$8:$D$42,ROW('03.Muestra'!$B$8:$B$42)-MIN(ROW('03.Muestra'!$D$8:$D$42))+1,""),ROW()-94)),"")</f>
        <v/>
      </c>
      <c r="B116" s="174" t="str" cm="1">
        <f t="array" ref="B116">IFERROR(INDEX('03.Muestra'!$C$8:$C$42,SMALL(IF("Página Web"='03.Muestra'!$D$8:$D$42,ROW('03.Muestra'!$C$8:$C$42)-MIN(ROW('03.Muestra'!$D$8:$D$42))+1,""),ROW()-94)),"")</f>
        <v/>
      </c>
      <c r="C116" s="174"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5" t="str" cm="1">
        <f t="array" ref="A117">IFERROR(INDEX('03.Muestra'!$B$8:$B$42,SMALL(IF("Página Web"='03.Muestra'!$D$8:$D$42,ROW('03.Muestra'!$B$8:$B$42)-MIN(ROW('03.Muestra'!$D$8:$D$42))+1,""),ROW()-94)),"")</f>
        <v/>
      </c>
      <c r="B117" s="174" t="str" cm="1">
        <f t="array" ref="B117">IFERROR(INDEX('03.Muestra'!$C$8:$C$42,SMALL(IF("Página Web"='03.Muestra'!$D$8:$D$42,ROW('03.Muestra'!$C$8:$C$42)-MIN(ROW('03.Muestra'!$D$8:$D$42))+1,""),ROW()-94)),"")</f>
        <v/>
      </c>
      <c r="C117" s="174"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5" t="str" cm="1">
        <f t="array" ref="A118">IFERROR(INDEX('03.Muestra'!$B$8:$B$42,SMALL(IF("Página Web"='03.Muestra'!$D$8:$D$42,ROW('03.Muestra'!$B$8:$B$42)-MIN(ROW('03.Muestra'!$D$8:$D$42))+1,""),ROW()-94)),"")</f>
        <v/>
      </c>
      <c r="B118" s="174" t="str" cm="1">
        <f t="array" ref="B118">IFERROR(INDEX('03.Muestra'!$C$8:$C$42,SMALL(IF("Página Web"='03.Muestra'!$D$8:$D$42,ROW('03.Muestra'!$C$8:$C$42)-MIN(ROW('03.Muestra'!$D$8:$D$42))+1,""),ROW()-94)),"")</f>
        <v/>
      </c>
      <c r="C118" s="174"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5" t="str" cm="1">
        <f t="array" ref="A119">IFERROR(INDEX('03.Muestra'!$B$8:$B$42,SMALL(IF("Página Web"='03.Muestra'!$D$8:$D$42,ROW('03.Muestra'!$B$8:$B$42)-MIN(ROW('03.Muestra'!$D$8:$D$42))+1,""),ROW()-94)),"")</f>
        <v/>
      </c>
      <c r="B119" s="174" t="str" cm="1">
        <f t="array" ref="B119">IFERROR(INDEX('03.Muestra'!$C$8:$C$42,SMALL(IF("Página Web"='03.Muestra'!$D$8:$D$42,ROW('03.Muestra'!$C$8:$C$42)-MIN(ROW('03.Muestra'!$D$8:$D$42))+1,""),ROW()-94)),"")</f>
        <v/>
      </c>
      <c r="C119" s="174"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5" t="str" cm="1">
        <f t="array" ref="A120">IFERROR(INDEX('03.Muestra'!$B$8:$B$42,SMALL(IF("Página Web"='03.Muestra'!$D$8:$D$42,ROW('03.Muestra'!$B$8:$B$42)-MIN(ROW('03.Muestra'!$D$8:$D$42))+1,""),ROW()-94)),"")</f>
        <v/>
      </c>
      <c r="B120" s="174" t="str" cm="1">
        <f t="array" ref="B120">IFERROR(INDEX('03.Muestra'!$C$8:$C$42,SMALL(IF("Página Web"='03.Muestra'!$D$8:$D$42,ROW('03.Muestra'!$C$8:$C$42)-MIN(ROW('03.Muestra'!$D$8:$D$42))+1,""),ROW()-94)),"")</f>
        <v/>
      </c>
      <c r="C120" s="174"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5" t="str" cm="1">
        <f t="array" ref="A121">IFERROR(INDEX('03.Muestra'!$B$8:$B$42,SMALL(IF("Página Web"='03.Muestra'!$D$8:$D$42,ROW('03.Muestra'!$B$8:$B$42)-MIN(ROW('03.Muestra'!$D$8:$D$42))+1,""),ROW()-94)),"")</f>
        <v/>
      </c>
      <c r="B121" s="174" t="str" cm="1">
        <f t="array" ref="B121">IFERROR(INDEX('03.Muestra'!$C$8:$C$42,SMALL(IF("Página Web"='03.Muestra'!$D$8:$D$42,ROW('03.Muestra'!$C$8:$C$42)-MIN(ROW('03.Muestra'!$D$8:$D$42))+1,""),ROW()-94)),"")</f>
        <v/>
      </c>
      <c r="C121" s="174"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5" t="str" cm="1">
        <f t="array" ref="A122">IFERROR(INDEX('03.Muestra'!$B$8:$B$42,SMALL(IF("Página Web"='03.Muestra'!$D$8:$D$42,ROW('03.Muestra'!$B$8:$B$42)-MIN(ROW('03.Muestra'!$D$8:$D$42))+1,""),ROW()-94)),"")</f>
        <v/>
      </c>
      <c r="B122" s="174" t="str" cm="1">
        <f t="array" ref="B122">IFERROR(INDEX('03.Muestra'!$C$8:$C$42,SMALL(IF("Página Web"='03.Muestra'!$D$8:$D$42,ROW('03.Muestra'!$C$8:$C$42)-MIN(ROW('03.Muestra'!$D$8:$D$42))+1,""),ROW()-94)),"")</f>
        <v/>
      </c>
      <c r="C122" s="174"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5" t="str" cm="1">
        <f t="array" ref="A123">IFERROR(INDEX('03.Muestra'!$B$8:$B$42,SMALL(IF("Página Web"='03.Muestra'!$D$8:$D$42,ROW('03.Muestra'!$B$8:$B$42)-MIN(ROW('03.Muestra'!$D$8:$D$42))+1,""),ROW()-94)),"")</f>
        <v/>
      </c>
      <c r="B123" s="174" t="str" cm="1">
        <f t="array" ref="B123">IFERROR(INDEX('03.Muestra'!$C$8:$C$42,SMALL(IF("Página Web"='03.Muestra'!$D$8:$D$42,ROW('03.Muestra'!$C$8:$C$42)-MIN(ROW('03.Muestra'!$D$8:$D$42))+1,""),ROW()-94)),"")</f>
        <v/>
      </c>
      <c r="C123" s="174"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5" t="str" cm="1">
        <f t="array" ref="A124">IFERROR(INDEX('03.Muestra'!$B$8:$B$42,SMALL(IF("Página Web"='03.Muestra'!$D$8:$D$42,ROW('03.Muestra'!$B$8:$B$42)-MIN(ROW('03.Muestra'!$D$8:$D$42))+1,""),ROW()-94)),"")</f>
        <v/>
      </c>
      <c r="B124" s="174" t="str" cm="1">
        <f t="array" ref="B124">IFERROR(INDEX('03.Muestra'!$C$8:$C$42,SMALL(IF("Página Web"='03.Muestra'!$D$8:$D$42,ROW('03.Muestra'!$C$8:$C$42)-MIN(ROW('03.Muestra'!$D$8:$D$42))+1,""),ROW()-94)),"")</f>
        <v/>
      </c>
      <c r="C124" s="174"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5" t="str" cm="1">
        <f t="array" ref="A125">IFERROR(INDEX('03.Muestra'!$B$8:$B$42,SMALL(IF("Página Web"='03.Muestra'!$D$8:$D$42,ROW('03.Muestra'!$B$8:$B$42)-MIN(ROW('03.Muestra'!$D$8:$D$42))+1,""),ROW()-94)),"")</f>
        <v/>
      </c>
      <c r="B125" s="174" t="str" cm="1">
        <f t="array" ref="B125">IFERROR(INDEX('03.Muestra'!$C$8:$C$42,SMALL(IF("Página Web"='03.Muestra'!$D$8:$D$42,ROW('03.Muestra'!$C$8:$C$42)-MIN(ROW('03.Muestra'!$D$8:$D$42))+1,""),ROW()-94)),"")</f>
        <v/>
      </c>
      <c r="C125" s="174"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5" t="str" cm="1">
        <f t="array" ref="A126">IFERROR(INDEX('03.Muestra'!$B$8:$B$42,SMALL(IF("Página Web"='03.Muestra'!$D$8:$D$42,ROW('03.Muestra'!$B$8:$B$42)-MIN(ROW('03.Muestra'!$D$8:$D$42))+1,""),ROW()-94)),"")</f>
        <v/>
      </c>
      <c r="B126" s="174" t="str" cm="1">
        <f t="array" ref="B126">IFERROR(INDEX('03.Muestra'!$C$8:$C$42,SMALL(IF("Página Web"='03.Muestra'!$D$8:$D$42,ROW('03.Muestra'!$C$8:$C$42)-MIN(ROW('03.Muestra'!$D$8:$D$42))+1,""),ROW()-94)),"")</f>
        <v/>
      </c>
      <c r="C126" s="174"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5" t="str" cm="1">
        <f t="array" ref="A127">IFERROR(INDEX('03.Muestra'!$B$8:$B$42,SMALL(IF("Página Web"='03.Muestra'!$D$8:$D$42,ROW('03.Muestra'!$B$8:$B$42)-MIN(ROW('03.Muestra'!$D$8:$D$42))+1,""),ROW()-94)),"")</f>
        <v/>
      </c>
      <c r="B127" s="174" t="str" cm="1">
        <f t="array" ref="B127">IFERROR(INDEX('03.Muestra'!$C$8:$C$42,SMALL(IF("Página Web"='03.Muestra'!$D$8:$D$42,ROW('03.Muestra'!$C$8:$C$42)-MIN(ROW('03.Muestra'!$D$8:$D$42))+1,""),ROW()-94)),"")</f>
        <v/>
      </c>
      <c r="C127" s="174"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5" t="str" cm="1">
        <f t="array" ref="A128">IFERROR(INDEX('03.Muestra'!$B$8:$B$42,SMALL(IF("Página Web"='03.Muestra'!$D$8:$D$42,ROW('03.Muestra'!$B$8:$B$42)-MIN(ROW('03.Muestra'!$D$8:$D$42))+1,""),ROW()-94)),"")</f>
        <v/>
      </c>
      <c r="B128" s="174" t="str" cm="1">
        <f t="array" ref="B128">IFERROR(INDEX('03.Muestra'!$C$8:$C$42,SMALL(IF("Página Web"='03.Muestra'!$D$8:$D$42,ROW('03.Muestra'!$C$8:$C$42)-MIN(ROW('03.Muestra'!$D$8:$D$42))+1,""),ROW()-94)),"")</f>
        <v/>
      </c>
      <c r="C128" s="174"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5" t="str" cm="1">
        <f t="array" ref="A129">IFERROR(INDEX('03.Muestra'!$B$8:$B$42,SMALL(IF("Página Web"='03.Muestra'!$D$8:$D$42,ROW('03.Muestra'!$B$8:$B$42)-MIN(ROW('03.Muestra'!$D$8:$D$42))+1,""),ROW()-94)),"")</f>
        <v/>
      </c>
      <c r="B129" s="174" t="str" cm="1">
        <f t="array" ref="B129">IFERROR(INDEX('03.Muestra'!$C$8:$C$42,SMALL(IF("Página Web"='03.Muestra'!$D$8:$D$42,ROW('03.Muestra'!$C$8:$C$42)-MIN(ROW('03.Muestra'!$D$8:$D$42))+1,""),ROW()-94)),"")</f>
        <v/>
      </c>
      <c r="C129" s="174"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E57:E91 E95:E129 E19:E53">
    <cfRule type="cellIs" dxfId="1545" priority="154" stopIfTrue="1" operator="equal">
      <formula>"ERR"</formula>
    </cfRule>
  </conditionalFormatting>
  <conditionalFormatting sqref="F19:J19 F57:J57 F95:J95 D19:D53 D57:D91 D95:D129">
    <cfRule type="expression" dxfId="1544" priority="148" stopIfTrue="1">
      <formula>ISBLANK(D19)</formula>
    </cfRule>
    <cfRule type="cellIs" dxfId="1543" priority="149" stopIfTrue="1" operator="equal">
      <formula>"Pasa"</formula>
    </cfRule>
    <cfRule type="cellIs" dxfId="1542" priority="150" stopIfTrue="1" operator="equal">
      <formula>"Falla"</formula>
    </cfRule>
    <cfRule type="cellIs" dxfId="1541" priority="151" stopIfTrue="1" operator="equal">
      <formula>"N/A"</formula>
    </cfRule>
    <cfRule type="cellIs" dxfId="1540" priority="152" stopIfTrue="1" operator="equal">
      <formula>"N/T"</formula>
    </cfRule>
    <cfRule type="cellIs" dxfId="1539" priority="153" stopIfTrue="1" operator="equal">
      <formula>"N/D"</formula>
    </cfRule>
  </conditionalFormatting>
  <conditionalFormatting sqref="D1:D8 D10:D1048576">
    <cfRule type="cellIs" dxfId="1538" priority="20" stopIfTrue="1" operator="equal">
      <formula>"-"</formula>
    </cfRule>
  </conditionalFormatting>
  <conditionalFormatting sqref="K23">
    <cfRule type="expression" dxfId="1537" priority="7" stopIfTrue="1">
      <formula>ISBLANK(K23)</formula>
    </cfRule>
    <cfRule type="cellIs" dxfId="1536" priority="8" stopIfTrue="1" operator="equal">
      <formula>"Pasa"</formula>
    </cfRule>
    <cfRule type="cellIs" dxfId="1535" priority="9" stopIfTrue="1" operator="equal">
      <formula>"Falla"</formula>
    </cfRule>
    <cfRule type="cellIs" dxfId="1534" priority="10" stopIfTrue="1" operator="equal">
      <formula>"N/A"</formula>
    </cfRule>
    <cfRule type="cellIs" dxfId="1533" priority="11" stopIfTrue="1" operator="equal">
      <formula>"N/T"</formula>
    </cfRule>
    <cfRule type="cellIs" dxfId="1532" priority="12" stopIfTrue="1" operator="equal">
      <formula>"N/D"</formula>
    </cfRule>
  </conditionalFormatting>
  <conditionalFormatting sqref="K24">
    <cfRule type="expression" dxfId="1531" priority="1" stopIfTrue="1">
      <formula>ISBLANK(K24)</formula>
    </cfRule>
    <cfRule type="cellIs" dxfId="1530" priority="2" stopIfTrue="1" operator="equal">
      <formula>"Pasa"</formula>
    </cfRule>
    <cfRule type="cellIs" dxfId="1529" priority="3" stopIfTrue="1" operator="equal">
      <formula>"Falla"</formula>
    </cfRule>
    <cfRule type="cellIs" dxfId="1528" priority="4" stopIfTrue="1" operator="equal">
      <formula>"N/A"</formula>
    </cfRule>
    <cfRule type="cellIs" dxfId="1527" priority="5" stopIfTrue="1" operator="equal">
      <formula>"N/T"</formula>
    </cfRule>
    <cfRule type="cellIs" dxfId="1526"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32" sqref="D26:D3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109</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8"/>
      <c r="C6" s="118"/>
      <c r="D6" s="118"/>
      <c r="E6" s="119"/>
      <c r="F6" s="118"/>
      <c r="G6" s="118"/>
      <c r="H6" s="118"/>
      <c r="I6" s="118"/>
      <c r="J6" s="118"/>
      <c r="K6" s="118"/>
      <c r="L6" s="118"/>
      <c r="M6" s="118"/>
      <c r="N6" s="18"/>
      <c r="O6" s="18"/>
    </row>
    <row r="7" spans="1:64" ht="12.65" customHeight="1">
      <c r="B7" s="18"/>
      <c r="C7" s="18"/>
      <c r="D7" s="18"/>
      <c r="E7" s="79"/>
      <c r="F7" s="18"/>
      <c r="G7" s="18"/>
      <c r="H7" s="18"/>
      <c r="I7" s="18"/>
      <c r="J7" s="18"/>
      <c r="K7" s="18"/>
      <c r="L7" s="18"/>
      <c r="M7" s="18"/>
      <c r="N7" s="18"/>
      <c r="O7" s="18"/>
    </row>
    <row r="8" spans="1:64" ht="21" customHeight="1">
      <c r="B8" s="82" t="s">
        <v>110</v>
      </c>
      <c r="C8" s="18"/>
      <c r="D8" s="79"/>
      <c r="E8" s="79"/>
      <c r="F8" s="18"/>
      <c r="G8" s="18"/>
      <c r="H8" s="18"/>
      <c r="I8" s="18"/>
      <c r="J8" s="18"/>
      <c r="K8" s="18"/>
      <c r="L8" s="18"/>
      <c r="M8" s="18"/>
      <c r="N8" s="18"/>
      <c r="O8" s="18"/>
    </row>
    <row r="9" spans="1:64" ht="30" customHeight="1">
      <c r="B9" s="235" t="s">
        <v>84</v>
      </c>
      <c r="C9" s="235"/>
      <c r="D9" s="235"/>
      <c r="E9" s="235"/>
      <c r="F9" s="235"/>
      <c r="G9" s="235"/>
      <c r="H9" s="235"/>
      <c r="I9" s="235"/>
      <c r="J9" s="235"/>
      <c r="K9" s="235"/>
      <c r="L9" s="235"/>
      <c r="M9" s="235"/>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33" t="s">
        <v>85</v>
      </c>
      <c r="C11" s="234"/>
      <c r="D11" s="26"/>
      <c r="E11" s="14"/>
      <c r="F11" s="195" t="s">
        <v>86</v>
      </c>
      <c r="G11" s="104" t="s">
        <v>87</v>
      </c>
      <c r="H11" s="196" t="s">
        <v>88</v>
      </c>
      <c r="I11" s="22"/>
      <c r="J11" s="195" t="s">
        <v>89</v>
      </c>
      <c r="K11" s="104" t="s">
        <v>87</v>
      </c>
      <c r="L11" s="196" t="s">
        <v>88</v>
      </c>
      <c r="M11" s="18"/>
      <c r="N11" s="18"/>
      <c r="O11" s="18"/>
      <c r="P11" s="18"/>
      <c r="Q11" s="18"/>
      <c r="R11" s="18"/>
      <c r="U11" s="18"/>
      <c r="V11" s="18"/>
      <c r="W11" s="18"/>
      <c r="X11" s="18"/>
      <c r="Y11" s="18"/>
    </row>
    <row r="12" spans="1:64" ht="12" customHeight="1">
      <c r="B12" s="107" t="s">
        <v>90</v>
      </c>
      <c r="C12" s="197">
        <f>COUNTIF($B$18:$B$4418,B12)</f>
        <v>19</v>
      </c>
      <c r="D12" s="26"/>
      <c r="E12" s="14"/>
      <c r="F12" s="198" t="s">
        <v>91</v>
      </c>
      <c r="G12" s="72">
        <f ca="1">J20+J58+J96+J134+J172+J210+J248+J286+J324+J362+J400+J438+J476+J514+J552+J590+J628+J666+J704</f>
        <v>0</v>
      </c>
      <c r="H12" s="42">
        <f ca="1">IF(($G$15+$K$15)=0,0,G12/($G$15+$K$15))</f>
        <v>0</v>
      </c>
      <c r="I12" s="26"/>
      <c r="J12" s="182" t="s">
        <v>92</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7"/>
      <c r="C13" s="197"/>
      <c r="D13" s="26"/>
      <c r="E13" s="14"/>
      <c r="F13" s="198" t="s">
        <v>93</v>
      </c>
      <c r="G13" s="72">
        <f ca="1">I20+I58+I96+I134+I172+I210+I248+I286+I324+I362+I400+I438+I476+I514+I552+I590+I628+I666+I704</f>
        <v>0</v>
      </c>
      <c r="H13" s="42">
        <f ca="1">IF(($G$15+$K$15)=0,0,G13/($G$15+$K$15))</f>
        <v>0</v>
      </c>
      <c r="I13" s="26"/>
      <c r="J13" s="182" t="s">
        <v>94</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199" t="s">
        <v>95</v>
      </c>
      <c r="C14" s="200">
        <f>C12+C13</f>
        <v>19</v>
      </c>
      <c r="D14" s="26"/>
      <c r="E14" s="14"/>
      <c r="F14" s="198" t="s">
        <v>96</v>
      </c>
      <c r="G14" s="72">
        <f ca="1">H20+H58+H96+H134+H172+H210+H248+H286+H324+H362+H400+H438+H476+H514+H552+H590+H628+H666+H704</f>
        <v>266</v>
      </c>
      <c r="H14" s="42">
        <f ca="1">IF(($G$15+$K$15)=0,0,G14/($G$15+$K$15))</f>
        <v>1</v>
      </c>
      <c r="I14" s="26"/>
      <c r="J14" s="176" t="s">
        <v>97</v>
      </c>
      <c r="K14" s="201">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199" t="s">
        <v>95</v>
      </c>
      <c r="G15" s="202">
        <f ca="1">SUM(G12:G14)</f>
        <v>266</v>
      </c>
      <c r="H15" s="203">
        <f ca="1">SUM(H12:H14)</f>
        <v>1</v>
      </c>
      <c r="I15" s="26"/>
      <c r="J15" s="199" t="s">
        <v>95</v>
      </c>
      <c r="K15" s="202">
        <f ca="1">SUM(K12:K13)</f>
        <v>0</v>
      </c>
      <c r="L15" s="203">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2" t="s">
        <v>98</v>
      </c>
      <c r="B18" s="23" t="s">
        <v>90</v>
      </c>
      <c r="C18" s="24" t="s">
        <v>111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103</v>
      </c>
      <c r="E19" s="79" t="str">
        <f t="shared" ref="E19:E53" si="0">IF(D19&lt;&gt;"",IF(AND(B19&lt;&gt;"",C19&lt;&gt;""),"","ERR"),"")</f>
        <v/>
      </c>
      <c r="F19" s="86" t="s">
        <v>101</v>
      </c>
      <c r="G19" s="87" t="s">
        <v>102</v>
      </c>
      <c r="H19" s="88" t="s">
        <v>103</v>
      </c>
      <c r="I19" s="89" t="s">
        <v>93</v>
      </c>
      <c r="J19" s="90" t="s">
        <v>91</v>
      </c>
      <c r="K19" s="178"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Aviso legal</v>
      </c>
      <c r="C20" s="85" t="str" cm="1">
        <f t="array" ref="C20">IFERROR(INDEX('03.Muestra'!$F$8:$F$42,SMALL(IF("Página Web"='03.Muestra'!$D$8:$D$42,ROW('03.Muestra'!$F$8:$F$42)-MIN(ROW('03.Muestra'!$D$8:$D$42))+1,""),ROW()-18)),"")</f>
        <v>https://www.comunidad.madrid/transparencia/aviso-legal</v>
      </c>
      <c r="D20" s="99" t="s">
        <v>103</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79">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Accesibilidad</v>
      </c>
      <c r="C21" s="85" t="str" cm="1">
        <f t="array" ref="C21">IFERROR(INDEX('03.Muestra'!$F$8:$F$42,SMALL(IF("Página Web"='03.Muestra'!$D$8:$D$42,ROW('03.Muestra'!$F$8:$F$42)-MIN(ROW('03.Muestra'!$D$8:$D$42))+1,""),ROW()-18)),"")</f>
        <v>https://www.comunidad.madrid/transparencia/declaracion-accesibilidad</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Tranparencia</v>
      </c>
      <c r="C22" s="85" t="str" cm="1">
        <f t="array" ref="C22">IFERROR(INDEX('03.Muestra'!$F$8:$F$42,SMALL(IF("Página Web"='03.Muestra'!$D$8:$D$42,ROW('03.Muestra'!$F$8:$F$42)-MIN(ROW('03.Muestra'!$D$8:$D$42))+1,""),ROW()-18)),"")</f>
        <v>https://www.comunidad.madrid/transparencia/que-es-transparencia</v>
      </c>
      <c r="D22" s="99" t="s">
        <v>103</v>
      </c>
      <c r="E22" s="79" t="str">
        <f t="shared" si="0"/>
        <v/>
      </c>
      <c r="F22" s="18"/>
      <c r="G22" s="18"/>
      <c r="H22" s="18"/>
      <c r="I22" s="18"/>
      <c r="K22" s="169"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Organización</v>
      </c>
      <c r="C23" s="85" t="str" cm="1">
        <f t="array" ref="C23">IFERROR(INDEX('03.Muestra'!$F$8:$F$42,SMALL(IF("Página Web"='03.Muestra'!$D$8:$D$42,ROW('03.Muestra'!$F$8:$F$42)-MIN(ROW('03.Muestra'!$D$8:$D$42))+1,""),ROW()-18)),"")</f>
        <v>https://www.comunidad.madrid/transparencia/organizacion-recursos/organizacion</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Quejas</v>
      </c>
      <c r="C24" s="85" t="str" cm="1">
        <f t="array" ref="C24">IFERROR(INDEX('03.Muestra'!$F$8:$F$42,SMALL(IF("Página Web"='03.Muestra'!$D$8:$D$42,ROW('03.Muestra'!$F$8:$F$42)-MIN(ROW('03.Muestra'!$D$8:$D$42))+1,""),ROW()-18)),"")</f>
        <v>https://www.comunidad.madrid/transparencia/quejas-y-reclamaciones</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Contratos</v>
      </c>
      <c r="C25" s="85" t="str" cm="1">
        <f t="array" ref="C25">IFERROR(INDEX('03.Muestra'!$F$8:$F$42,SMALL(IF("Página Web"='03.Muestra'!$D$8:$D$42,ROW('03.Muestra'!$F$8:$F$42)-MIN(ROW('03.Muestra'!$D$8:$D$42))+1,""),ROW()-18)),"")</f>
        <v>https://www.comunidad.madrid/transparencia/contratos</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v>
      </c>
      <c r="C26" s="85" t="str" cm="1">
        <f t="array" ref="C26">IFERROR(INDEX('03.Muestra'!$F$8:$F$42,SMALL(IF("Página Web"='03.Muestra'!$D$8:$D$42,ROW('03.Muestra'!$F$8:$F$42)-MIN(ROW('03.Muestra'!$D$8:$D$42))+1,""),ROW()-18)),"")</f>
        <v>https://www.comunidad.madrid/transparencia/normativa-planificacion/consulta-publica</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Proyecto</v>
      </c>
      <c r="C27" s="85" t="str" cm="1">
        <f t="array" ref="C27">IFERROR(INDEX('03.Muestra'!$F$8:$F$42,SMALL(IF("Página Web"='03.Muestra'!$D$8:$D$42,ROW('03.Muestra'!$F$8:$F$42)-MIN(ROW('03.Muestra'!$D$8:$D$42))+1,""),ROW()-18)),"")</f>
        <v>https://www.comunidad.madrid/transparencia/proyecto-orden-que-se-crea-comision-farmacia-y-productos-sanitarios-cm-y-se-establece-su-composicion</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Planes y Programas</v>
      </c>
      <c r="C28" s="85" t="str" cm="1">
        <f t="array" ref="C28">IFERROR(INDEX('03.Muestra'!$F$8:$F$42,SMALL(IF("Página Web"='03.Muestra'!$D$8:$D$42,ROW('03.Muestra'!$F$8:$F$42)-MIN(ROW('03.Muestra'!$D$8:$D$42))+1,""),ROW()-18)),"")</f>
        <v>https://www.comunidad.madrid/transparencia/normativa-planificacion/planes-programas</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Estrategia</v>
      </c>
      <c r="C29" s="85" t="str" cm="1">
        <f t="array" ref="C29">IFERROR(INDEX('03.Muestra'!$F$8:$F$42,SMALL(IF("Página Web"='03.Muestra'!$D$8:$D$42,ROW('03.Muestra'!$F$8:$F$42)-MIN(ROW('03.Muestra'!$D$8:$D$42))+1,""),ROW()-18)),"")</f>
        <v>https://www.comunidad.madrid/transparencia/informacion-institucional/planes-programas/estrategia-seguridad-del-paciente-del-servicio-madrileno</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Huella</v>
      </c>
      <c r="C30" s="85" t="str" cm="1">
        <f t="array" ref="C30">IFERROR(INDEX('03.Muestra'!$F$8:$F$42,SMALL(IF("Página Web"='03.Muestra'!$D$8:$D$42,ROW('03.Muestra'!$F$8:$F$42)-MIN(ROW('03.Muestra'!$D$8:$D$42))+1,""),ROW()-18)),"")</f>
        <v>https://www.comunidad.madrid/transparencia/normativa-planificacion/huella-normativa</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Decreto</v>
      </c>
      <c r="C31" s="85" t="str" cm="1">
        <f t="array" ref="C31">IFERROR(INDEX('03.Muestra'!$F$8:$F$42,SMALL(IF("Página Web"='03.Muestra'!$D$8:$D$42,ROW('03.Muestra'!$F$8:$F$42)-MIN(ROW('03.Muestra'!$D$8:$D$42))+1,""),ROW()-18)),"")</f>
        <v>https://www.comunidad.madrid/transparencia/decreto-del-consejo-gobierno-que-se-establece-estructura-organica-consejeria-familia-juventud-y</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Entidades Locales</v>
      </c>
      <c r="C32" s="85" t="str" cm="1">
        <f t="array" ref="C32">IFERROR(INDEX('03.Muestra'!$F$8:$F$42,SMALL(IF("Página Web"='03.Muestra'!$D$8:$D$42,ROW('03.Muestra'!$F$8:$F$42)-MIN(ROW('03.Muestra'!$D$8:$D$42))+1,""),ROW()-18)),"")</f>
        <v>https://www.comunidad.madrid/transparencia/entidades-locales</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2" t="s">
        <v>98</v>
      </c>
      <c r="B56" s="23" t="s">
        <v>90</v>
      </c>
      <c r="C56" s="24" t="s">
        <v>112</v>
      </c>
      <c r="D56" s="25" t="s">
        <v>100</v>
      </c>
      <c r="E56" s="93"/>
      <c r="K56" s="177"/>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103</v>
      </c>
      <c r="E57" s="79" t="str">
        <f t="shared" ref="E57:E91" si="2">IF(D57&lt;&gt;"",IF(AND(B57&lt;&gt;"",C57&lt;&gt;""),"","ERR"),"")</f>
        <v/>
      </c>
      <c r="F57" s="86" t="s">
        <v>101</v>
      </c>
      <c r="G57" s="87" t="s">
        <v>102</v>
      </c>
      <c r="H57" s="88" t="s">
        <v>103</v>
      </c>
      <c r="I57" s="89" t="s">
        <v>93</v>
      </c>
      <c r="J57" s="90" t="s">
        <v>91</v>
      </c>
      <c r="K57" s="180"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Aviso legal</v>
      </c>
      <c r="C58" s="85" t="str" cm="1">
        <f t="array" ref="C58">IFERROR(INDEX('03.Muestra'!$F$8:$F$42,SMALL(IF("Página Web"='03.Muestra'!$D$8:$D$42,ROW('03.Muestra'!$F$8:$F$42)-MIN(ROW('03.Muestra'!$D$8:$D$42))+1,""),ROW()-56)),"")</f>
        <v>https://www.comunidad.madrid/transparencia/aviso-legal</v>
      </c>
      <c r="D58" s="99" t="s">
        <v>103</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81">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Accesibilidad</v>
      </c>
      <c r="C59" s="85" t="str" cm="1">
        <f t="array" ref="C59">IFERROR(INDEX('03.Muestra'!$F$8:$F$42,SMALL(IF("Página Web"='03.Muestra'!$D$8:$D$42,ROW('03.Muestra'!$F$8:$F$42)-MIN(ROW('03.Muestra'!$D$8:$D$42))+1,""),ROW()-56)),"")</f>
        <v>https://www.comunidad.madrid/transparencia/declaracion-accesibilidad</v>
      </c>
      <c r="D59" s="99" t="s">
        <v>103</v>
      </c>
      <c r="E59" s="79" t="str">
        <f t="shared" si="2"/>
        <v/>
      </c>
      <c r="G59" s="18"/>
      <c r="H59" s="18"/>
      <c r="I59" s="18"/>
      <c r="J59" s="18"/>
      <c r="K59" s="177"/>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Tranparencia</v>
      </c>
      <c r="C60" s="85" t="str" cm="1">
        <f t="array" ref="C60">IFERROR(INDEX('03.Muestra'!$F$8:$F$42,SMALL(IF("Página Web"='03.Muestra'!$D$8:$D$42,ROW('03.Muestra'!$F$8:$F$42)-MIN(ROW('03.Muestra'!$D$8:$D$42))+1,""),ROW()-56)),"")</f>
        <v>https://www.comunidad.madrid/transparencia/que-es-transparencia</v>
      </c>
      <c r="D60" s="99" t="s">
        <v>103</v>
      </c>
      <c r="E60" s="79" t="str">
        <f t="shared" si="2"/>
        <v/>
      </c>
      <c r="G60" s="18"/>
      <c r="H60" s="18"/>
      <c r="I60" s="18"/>
      <c r="J60" s="18"/>
      <c r="K60" s="177"/>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Organización</v>
      </c>
      <c r="C61" s="85" t="str" cm="1">
        <f t="array" ref="C61">IFERROR(INDEX('03.Muestra'!$F$8:$F$42,SMALL(IF("Página Web"='03.Muestra'!$D$8:$D$42,ROW('03.Muestra'!$F$8:$F$42)-MIN(ROW('03.Muestra'!$D$8:$D$42))+1,""),ROW()-56)),"")</f>
        <v>https://www.comunidad.madrid/transparencia/organizacion-recursos/organizacion</v>
      </c>
      <c r="D61" s="99" t="s">
        <v>103</v>
      </c>
      <c r="E61" s="79" t="str">
        <f t="shared" si="2"/>
        <v/>
      </c>
      <c r="G61" s="18"/>
      <c r="H61" s="18"/>
      <c r="I61" s="18"/>
      <c r="J61" s="18"/>
      <c r="K61" s="177"/>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Quejas</v>
      </c>
      <c r="C62" s="85" t="str" cm="1">
        <f t="array" ref="C62">IFERROR(INDEX('03.Muestra'!$F$8:$F$42,SMALL(IF("Página Web"='03.Muestra'!$D$8:$D$42,ROW('03.Muestra'!$F$8:$F$42)-MIN(ROW('03.Muestra'!$D$8:$D$42))+1,""),ROW()-56)),"")</f>
        <v>https://www.comunidad.madrid/transparencia/quejas-y-reclamaciones</v>
      </c>
      <c r="D62" s="99" t="s">
        <v>103</v>
      </c>
      <c r="E62" s="79" t="str">
        <f t="shared" si="2"/>
        <v/>
      </c>
      <c r="G62" s="18"/>
      <c r="H62" s="18"/>
      <c r="I62" s="18"/>
      <c r="J62" s="18"/>
      <c r="K62" s="177"/>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Contratos</v>
      </c>
      <c r="C63" s="85" t="str" cm="1">
        <f t="array" ref="C63">IFERROR(INDEX('03.Muestra'!$F$8:$F$42,SMALL(IF("Página Web"='03.Muestra'!$D$8:$D$42,ROW('03.Muestra'!$F$8:$F$42)-MIN(ROW('03.Muestra'!$D$8:$D$42))+1,""),ROW()-56)),"")</f>
        <v>https://www.comunidad.madrid/transparencia/contratos</v>
      </c>
      <c r="D63" s="99" t="s">
        <v>103</v>
      </c>
      <c r="E63" s="79" t="str">
        <f t="shared" si="2"/>
        <v/>
      </c>
      <c r="F63" s="18"/>
      <c r="G63" s="18"/>
      <c r="H63" s="18"/>
      <c r="I63" s="18"/>
      <c r="J63" s="18"/>
      <c r="K63" s="177"/>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v>
      </c>
      <c r="C64" s="85" t="str" cm="1">
        <f t="array" ref="C64">IFERROR(INDEX('03.Muestra'!$F$8:$F$42,SMALL(IF("Página Web"='03.Muestra'!$D$8:$D$42,ROW('03.Muestra'!$F$8:$F$42)-MIN(ROW('03.Muestra'!$D$8:$D$42))+1,""),ROW()-56)),"")</f>
        <v>https://www.comunidad.madrid/transparencia/normativa-planificacion/consulta-publica</v>
      </c>
      <c r="D64" s="99" t="s">
        <v>103</v>
      </c>
      <c r="E64" s="79" t="str">
        <f t="shared" si="2"/>
        <v/>
      </c>
      <c r="F64" s="18"/>
      <c r="G64" s="18"/>
      <c r="H64" s="18"/>
      <c r="I64" s="18"/>
      <c r="J64" s="18"/>
      <c r="K64" s="177"/>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Proyecto</v>
      </c>
      <c r="C65" s="85" t="str" cm="1">
        <f t="array" ref="C65">IFERROR(INDEX('03.Muestra'!$F$8:$F$42,SMALL(IF("Página Web"='03.Muestra'!$D$8:$D$42,ROW('03.Muestra'!$F$8:$F$42)-MIN(ROW('03.Muestra'!$D$8:$D$42))+1,""),ROW()-56)),"")</f>
        <v>https://www.comunidad.madrid/transparencia/proyecto-orden-que-se-crea-comision-farmacia-y-productos-sanitarios-cm-y-se-establece-su-composicion</v>
      </c>
      <c r="D65" s="99" t="s">
        <v>103</v>
      </c>
      <c r="E65" s="79" t="str">
        <f t="shared" si="2"/>
        <v/>
      </c>
      <c r="F65" s="18"/>
      <c r="G65" s="18"/>
      <c r="H65" s="18"/>
      <c r="I65" s="18"/>
      <c r="J65" s="18"/>
      <c r="K65" s="177"/>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Planes y Programas</v>
      </c>
      <c r="C66" s="85" t="str" cm="1">
        <f t="array" ref="C66">IFERROR(INDEX('03.Muestra'!$F$8:$F$42,SMALL(IF("Página Web"='03.Muestra'!$D$8:$D$42,ROW('03.Muestra'!$F$8:$F$42)-MIN(ROW('03.Muestra'!$D$8:$D$42))+1,""),ROW()-56)),"")</f>
        <v>https://www.comunidad.madrid/transparencia/normativa-planificacion/planes-programas</v>
      </c>
      <c r="D66" s="99" t="s">
        <v>103</v>
      </c>
      <c r="E66" s="79" t="str">
        <f t="shared" si="2"/>
        <v/>
      </c>
      <c r="F66" s="18"/>
      <c r="G66" s="18"/>
      <c r="H66" s="18"/>
      <c r="I66" s="18"/>
      <c r="J66" s="18"/>
      <c r="K66" s="177"/>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Estrategia</v>
      </c>
      <c r="C67" s="85" t="str" cm="1">
        <f t="array" ref="C67">IFERROR(INDEX('03.Muestra'!$F$8:$F$42,SMALL(IF("Página Web"='03.Muestra'!$D$8:$D$42,ROW('03.Muestra'!$F$8:$F$42)-MIN(ROW('03.Muestra'!$D$8:$D$42))+1,""),ROW()-56)),"")</f>
        <v>https://www.comunidad.madrid/transparencia/informacion-institucional/planes-programas/estrategia-seguridad-del-paciente-del-servicio-madrileno</v>
      </c>
      <c r="D67" s="99" t="s">
        <v>103</v>
      </c>
      <c r="E67" s="79" t="str">
        <f t="shared" si="2"/>
        <v/>
      </c>
      <c r="F67" s="18"/>
      <c r="G67" s="18"/>
      <c r="H67" s="18"/>
      <c r="I67" s="18"/>
      <c r="J67" s="18"/>
      <c r="K67" s="177"/>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Huella</v>
      </c>
      <c r="C68" s="85" t="str" cm="1">
        <f t="array" ref="C68">IFERROR(INDEX('03.Muestra'!$F$8:$F$42,SMALL(IF("Página Web"='03.Muestra'!$D$8:$D$42,ROW('03.Muestra'!$F$8:$F$42)-MIN(ROW('03.Muestra'!$D$8:$D$42))+1,""),ROW()-56)),"")</f>
        <v>https://www.comunidad.madrid/transparencia/normativa-planificacion/huella-normativa</v>
      </c>
      <c r="D68" s="99" t="s">
        <v>103</v>
      </c>
      <c r="E68" s="79" t="str">
        <f t="shared" si="2"/>
        <v/>
      </c>
      <c r="F68" s="18"/>
      <c r="G68" s="18"/>
      <c r="H68" s="18"/>
      <c r="I68" s="18"/>
      <c r="J68" s="18"/>
      <c r="K68" s="177"/>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Decreto</v>
      </c>
      <c r="C69" s="85" t="str" cm="1">
        <f t="array" ref="C69">IFERROR(INDEX('03.Muestra'!$F$8:$F$42,SMALL(IF("Página Web"='03.Muestra'!$D$8:$D$42,ROW('03.Muestra'!$F$8:$F$42)-MIN(ROW('03.Muestra'!$D$8:$D$42))+1,""),ROW()-56)),"")</f>
        <v>https://www.comunidad.madrid/transparencia/decreto-del-consejo-gobierno-que-se-establece-estructura-organica-consejeria-familia-juventud-y</v>
      </c>
      <c r="D69" s="99" t="s">
        <v>103</v>
      </c>
      <c r="E69" s="79" t="str">
        <f t="shared" si="2"/>
        <v/>
      </c>
      <c r="F69" s="18"/>
      <c r="G69" s="18"/>
      <c r="H69" s="18"/>
      <c r="I69" s="18"/>
      <c r="J69" s="18"/>
      <c r="K69" s="177"/>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Entidades Locales</v>
      </c>
      <c r="C70" s="85" t="str" cm="1">
        <f t="array" ref="C70">IFERROR(INDEX('03.Muestra'!$F$8:$F$42,SMALL(IF("Página Web"='03.Muestra'!$D$8:$D$42,ROW('03.Muestra'!$F$8:$F$42)-MIN(ROW('03.Muestra'!$D$8:$D$42))+1,""),ROW()-56)),"")</f>
        <v>https://www.comunidad.madrid/transparencia/entidades-locales</v>
      </c>
      <c r="D70" s="99" t="s">
        <v>103</v>
      </c>
      <c r="E70" s="79" t="str">
        <f t="shared" si="2"/>
        <v/>
      </c>
      <c r="F70" s="18"/>
      <c r="G70" s="18"/>
      <c r="H70" s="18"/>
      <c r="I70" s="18"/>
      <c r="J70" s="18"/>
      <c r="K70" s="177"/>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77"/>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7"/>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7"/>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7"/>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7"/>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7"/>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7"/>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7"/>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7"/>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7"/>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7"/>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7"/>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7"/>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7"/>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7"/>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7"/>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7"/>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7"/>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7"/>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7"/>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7"/>
      <c r="L91" s="18"/>
      <c r="M91" s="18"/>
      <c r="N91" s="18"/>
      <c r="O91" s="18"/>
      <c r="P91" s="18"/>
      <c r="Q91" s="18"/>
      <c r="R91" s="18"/>
      <c r="S91" s="18"/>
      <c r="T91" s="18"/>
      <c r="U91" s="18"/>
      <c r="V91" s="18"/>
      <c r="W91" s="18"/>
      <c r="X91" s="18"/>
      <c r="Y91" s="18"/>
    </row>
    <row r="92" spans="1:25" ht="12" customHeight="1">
      <c r="A92" s="84"/>
      <c r="B92" s="123"/>
      <c r="C92" s="123"/>
      <c r="D92" s="124"/>
      <c r="E92" s="79"/>
      <c r="F92" s="18"/>
      <c r="G92" s="18"/>
      <c r="H92" s="18"/>
      <c r="I92" s="18"/>
      <c r="J92" s="18"/>
      <c r="K92" s="177"/>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7"/>
      <c r="L93" s="18"/>
      <c r="M93" s="18"/>
      <c r="N93" s="18"/>
      <c r="O93" s="18"/>
      <c r="P93" s="18"/>
      <c r="Q93" s="18"/>
      <c r="R93" s="18"/>
      <c r="S93" s="18"/>
      <c r="T93" s="18"/>
      <c r="U93" s="18"/>
      <c r="V93" s="18"/>
      <c r="W93" s="18"/>
      <c r="X93" s="18"/>
      <c r="Y93" s="18"/>
    </row>
    <row r="94" spans="1:25" ht="32.25" customHeight="1">
      <c r="A94" s="172" t="s">
        <v>98</v>
      </c>
      <c r="B94" s="23" t="s">
        <v>90</v>
      </c>
      <c r="C94" s="24" t="s">
        <v>113</v>
      </c>
      <c r="D94" s="25" t="s">
        <v>100</v>
      </c>
      <c r="E94" s="93"/>
      <c r="K94" s="177"/>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103</v>
      </c>
      <c r="E95" s="79" t="str">
        <f t="shared" ref="E95:E129" si="4">IF(D95&lt;&gt;"",IF(AND(B95&lt;&gt;"",C95&lt;&gt;""),"","ERR"),"")</f>
        <v/>
      </c>
      <c r="F95" s="86" t="s">
        <v>101</v>
      </c>
      <c r="G95" s="87" t="s">
        <v>102</v>
      </c>
      <c r="H95" s="88" t="s">
        <v>103</v>
      </c>
      <c r="I95" s="89" t="s">
        <v>93</v>
      </c>
      <c r="J95" s="90" t="s">
        <v>91</v>
      </c>
      <c r="K95" s="180" t="s">
        <v>97</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Aviso legal</v>
      </c>
      <c r="C96" s="85" t="str" cm="1">
        <f t="array" ref="C96">IFERROR(INDEX('03.Muestra'!$F$8:$F$42,SMALL(IF("Página Web"='03.Muestra'!$D$8:$D$42,ROW('03.Muestra'!$F$8:$F$42)-MIN(ROW('03.Muestra'!$D$8:$D$42))+1,""),ROW()-94)),"")</f>
        <v>https://www.comunidad.madrid/transparencia/aviso-legal</v>
      </c>
      <c r="D96" s="99" t="s">
        <v>103</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81">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Accesibilidad</v>
      </c>
      <c r="C97" s="85" t="str" cm="1">
        <f t="array" ref="C97">IFERROR(INDEX('03.Muestra'!$F$8:$F$42,SMALL(IF("Página Web"='03.Muestra'!$D$8:$D$42,ROW('03.Muestra'!$F$8:$F$42)-MIN(ROW('03.Muestra'!$D$8:$D$42))+1,""),ROW()-94)),"")</f>
        <v>https://www.comunidad.madrid/transparencia/declaracion-accesibilidad</v>
      </c>
      <c r="D97" s="99" t="s">
        <v>103</v>
      </c>
      <c r="E97" s="79" t="str">
        <f t="shared" si="4"/>
        <v/>
      </c>
      <c r="G97" s="18"/>
      <c r="H97" s="18"/>
      <c r="I97" s="18"/>
      <c r="J97" s="18"/>
      <c r="K97" s="177"/>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Tranparencia</v>
      </c>
      <c r="C98" s="85" t="str" cm="1">
        <f t="array" ref="C98">IFERROR(INDEX('03.Muestra'!$F$8:$F$42,SMALL(IF("Página Web"='03.Muestra'!$D$8:$D$42,ROW('03.Muestra'!$F$8:$F$42)-MIN(ROW('03.Muestra'!$D$8:$D$42))+1,""),ROW()-94)),"")</f>
        <v>https://www.comunidad.madrid/transparencia/que-es-transparencia</v>
      </c>
      <c r="D98" s="99" t="s">
        <v>103</v>
      </c>
      <c r="E98" s="79" t="str">
        <f t="shared" si="4"/>
        <v/>
      </c>
      <c r="G98" s="18"/>
      <c r="H98" s="18"/>
      <c r="I98" s="18"/>
      <c r="J98" s="18"/>
      <c r="K98" s="177"/>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Organización</v>
      </c>
      <c r="C99" s="85" t="str" cm="1">
        <f t="array" ref="C99">IFERROR(INDEX('03.Muestra'!$F$8:$F$42,SMALL(IF("Página Web"='03.Muestra'!$D$8:$D$42,ROW('03.Muestra'!$F$8:$F$42)-MIN(ROW('03.Muestra'!$D$8:$D$42))+1,""),ROW()-94)),"")</f>
        <v>https://www.comunidad.madrid/transparencia/organizacion-recursos/organizacion</v>
      </c>
      <c r="D99" s="99" t="s">
        <v>103</v>
      </c>
      <c r="E99" s="79" t="str">
        <f t="shared" si="4"/>
        <v/>
      </c>
      <c r="G99" s="18"/>
      <c r="H99" s="18"/>
      <c r="I99" s="18"/>
      <c r="J99" s="18"/>
      <c r="K99" s="177"/>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Quejas</v>
      </c>
      <c r="C100" s="85" t="str" cm="1">
        <f t="array" ref="C100">IFERROR(INDEX('03.Muestra'!$F$8:$F$42,SMALL(IF("Página Web"='03.Muestra'!$D$8:$D$42,ROW('03.Muestra'!$F$8:$F$42)-MIN(ROW('03.Muestra'!$D$8:$D$42))+1,""),ROW()-94)),"")</f>
        <v>https://www.comunidad.madrid/transparencia/quejas-y-reclamaciones</v>
      </c>
      <c r="D100" s="99" t="s">
        <v>103</v>
      </c>
      <c r="E100" s="79" t="str">
        <f t="shared" si="4"/>
        <v/>
      </c>
      <c r="G100" s="18"/>
      <c r="H100" s="18"/>
      <c r="I100" s="18"/>
      <c r="J100" s="18"/>
      <c r="K100" s="177"/>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Contratos</v>
      </c>
      <c r="C101" s="85" t="str" cm="1">
        <f t="array" ref="C101">IFERROR(INDEX('03.Muestra'!$F$8:$F$42,SMALL(IF("Página Web"='03.Muestra'!$D$8:$D$42,ROW('03.Muestra'!$F$8:$F$42)-MIN(ROW('03.Muestra'!$D$8:$D$42))+1,""),ROW()-94)),"")</f>
        <v>https://www.comunidad.madrid/transparencia/contratos</v>
      </c>
      <c r="D101" s="99" t="s">
        <v>103</v>
      </c>
      <c r="E101" s="79" t="str">
        <f t="shared" si="4"/>
        <v/>
      </c>
      <c r="F101" s="18"/>
      <c r="G101" s="18"/>
      <c r="H101" s="18"/>
      <c r="I101" s="18"/>
      <c r="J101" s="18"/>
      <c r="K101" s="177"/>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v>
      </c>
      <c r="C102" s="85" t="str" cm="1">
        <f t="array" ref="C102">IFERROR(INDEX('03.Muestra'!$F$8:$F$42,SMALL(IF("Página Web"='03.Muestra'!$D$8:$D$42,ROW('03.Muestra'!$F$8:$F$42)-MIN(ROW('03.Muestra'!$D$8:$D$42))+1,""),ROW()-94)),"")</f>
        <v>https://www.comunidad.madrid/transparencia/normativa-planificacion/consulta-publica</v>
      </c>
      <c r="D102" s="99" t="s">
        <v>103</v>
      </c>
      <c r="E102" s="79" t="str">
        <f t="shared" si="4"/>
        <v/>
      </c>
      <c r="F102" s="18"/>
      <c r="G102" s="18"/>
      <c r="H102" s="18"/>
      <c r="I102" s="18"/>
      <c r="J102" s="18"/>
      <c r="K102" s="177"/>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Proyecto</v>
      </c>
      <c r="C103" s="85" t="str" cm="1">
        <f t="array" ref="C103">IFERROR(INDEX('03.Muestra'!$F$8:$F$42,SMALL(IF("Página Web"='03.Muestra'!$D$8:$D$42,ROW('03.Muestra'!$F$8:$F$42)-MIN(ROW('03.Muestra'!$D$8:$D$42))+1,""),ROW()-94)),"")</f>
        <v>https://www.comunidad.madrid/transparencia/proyecto-orden-que-se-crea-comision-farmacia-y-productos-sanitarios-cm-y-se-establece-su-composicion</v>
      </c>
      <c r="D103" s="99" t="s">
        <v>103</v>
      </c>
      <c r="E103" s="79" t="str">
        <f t="shared" si="4"/>
        <v/>
      </c>
      <c r="F103" s="18"/>
      <c r="G103" s="18"/>
      <c r="H103" s="18"/>
      <c r="I103" s="18"/>
      <c r="J103" s="18"/>
      <c r="K103" s="177"/>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Planes y Programas</v>
      </c>
      <c r="C104" s="85" t="str" cm="1">
        <f t="array" ref="C104">IFERROR(INDEX('03.Muestra'!$F$8:$F$42,SMALL(IF("Página Web"='03.Muestra'!$D$8:$D$42,ROW('03.Muestra'!$F$8:$F$42)-MIN(ROW('03.Muestra'!$D$8:$D$42))+1,""),ROW()-94)),"")</f>
        <v>https://www.comunidad.madrid/transparencia/normativa-planificacion/planes-programas</v>
      </c>
      <c r="D104" s="99" t="s">
        <v>103</v>
      </c>
      <c r="E104" s="79" t="str">
        <f t="shared" si="4"/>
        <v/>
      </c>
      <c r="F104" s="18"/>
      <c r="G104" s="18"/>
      <c r="H104" s="18"/>
      <c r="I104" s="18"/>
      <c r="J104" s="18"/>
      <c r="K104" s="177"/>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Estrategia</v>
      </c>
      <c r="C105" s="85" t="str" cm="1">
        <f t="array" ref="C105">IFERROR(INDEX('03.Muestra'!$F$8:$F$42,SMALL(IF("Página Web"='03.Muestra'!$D$8:$D$42,ROW('03.Muestra'!$F$8:$F$42)-MIN(ROW('03.Muestra'!$D$8:$D$42))+1,""),ROW()-94)),"")</f>
        <v>https://www.comunidad.madrid/transparencia/informacion-institucional/planes-programas/estrategia-seguridad-del-paciente-del-servicio-madrileno</v>
      </c>
      <c r="D105" s="99" t="s">
        <v>103</v>
      </c>
      <c r="E105" s="79" t="str">
        <f t="shared" si="4"/>
        <v/>
      </c>
      <c r="F105" s="18"/>
      <c r="G105" s="18"/>
      <c r="H105" s="18"/>
      <c r="I105" s="18"/>
      <c r="J105" s="18"/>
      <c r="K105" s="177"/>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Huella</v>
      </c>
      <c r="C106" s="85" t="str" cm="1">
        <f t="array" ref="C106">IFERROR(INDEX('03.Muestra'!$F$8:$F$42,SMALL(IF("Página Web"='03.Muestra'!$D$8:$D$42,ROW('03.Muestra'!$F$8:$F$42)-MIN(ROW('03.Muestra'!$D$8:$D$42))+1,""),ROW()-94)),"")</f>
        <v>https://www.comunidad.madrid/transparencia/normativa-planificacion/huella-normativa</v>
      </c>
      <c r="D106" s="99" t="s">
        <v>103</v>
      </c>
      <c r="E106" s="79" t="str">
        <f t="shared" si="4"/>
        <v/>
      </c>
      <c r="F106" s="18"/>
      <c r="G106" s="18"/>
      <c r="H106" s="18"/>
      <c r="I106" s="18"/>
      <c r="J106" s="18"/>
      <c r="K106" s="177"/>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Decreto</v>
      </c>
      <c r="C107" s="85" t="str" cm="1">
        <f t="array" ref="C107">IFERROR(INDEX('03.Muestra'!$F$8:$F$42,SMALL(IF("Página Web"='03.Muestra'!$D$8:$D$42,ROW('03.Muestra'!$F$8:$F$42)-MIN(ROW('03.Muestra'!$D$8:$D$42))+1,""),ROW()-94)),"")</f>
        <v>https://www.comunidad.madrid/transparencia/decreto-del-consejo-gobierno-que-se-establece-estructura-organica-consejeria-familia-juventud-y</v>
      </c>
      <c r="D107" s="99" t="s">
        <v>103</v>
      </c>
      <c r="E107" s="79" t="str">
        <f t="shared" si="4"/>
        <v/>
      </c>
      <c r="F107" s="18"/>
      <c r="G107" s="18"/>
      <c r="H107" s="18"/>
      <c r="I107" s="18"/>
      <c r="J107" s="18"/>
      <c r="K107" s="177"/>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Entidades Locales</v>
      </c>
      <c r="C108" s="85" t="str" cm="1">
        <f t="array" ref="C108">IFERROR(INDEX('03.Muestra'!$F$8:$F$42,SMALL(IF("Página Web"='03.Muestra'!$D$8:$D$42,ROW('03.Muestra'!$F$8:$F$42)-MIN(ROW('03.Muestra'!$D$8:$D$42))+1,""),ROW()-94)),"")</f>
        <v>https://www.comunidad.madrid/transparencia/entidades-locales</v>
      </c>
      <c r="D108" s="99" t="s">
        <v>103</v>
      </c>
      <c r="E108" s="79" t="str">
        <f t="shared" si="4"/>
        <v/>
      </c>
      <c r="F108" s="18"/>
      <c r="G108" s="18"/>
      <c r="H108" s="18"/>
      <c r="I108" s="18"/>
      <c r="J108" s="18"/>
      <c r="K108" s="177"/>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77"/>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7"/>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7"/>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7"/>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7"/>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7"/>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7"/>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7"/>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7"/>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7"/>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7"/>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7"/>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7"/>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7"/>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7"/>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7"/>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7"/>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7"/>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7"/>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7"/>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7"/>
      <c r="L129" s="18"/>
      <c r="M129" s="18"/>
      <c r="N129" s="18"/>
      <c r="O129" s="18"/>
      <c r="P129" s="18"/>
      <c r="Q129" s="18"/>
      <c r="R129" s="18"/>
      <c r="S129" s="18"/>
      <c r="T129" s="18"/>
      <c r="U129" s="18"/>
      <c r="V129" s="18"/>
      <c r="W129" s="18"/>
      <c r="X129" s="18"/>
      <c r="Y129" s="18"/>
    </row>
    <row r="130" spans="1:25" ht="12" customHeight="1">
      <c r="A130" s="84"/>
      <c r="B130" s="123"/>
      <c r="C130" s="123"/>
      <c r="D130" s="124"/>
      <c r="E130" s="79"/>
      <c r="F130" s="18"/>
      <c r="G130" s="18"/>
      <c r="H130" s="18"/>
      <c r="I130" s="18"/>
      <c r="J130" s="18"/>
      <c r="K130" s="177"/>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7"/>
      <c r="L131" s="18"/>
      <c r="M131" s="18"/>
      <c r="N131" s="18"/>
      <c r="O131" s="18"/>
      <c r="P131" s="18"/>
      <c r="Q131" s="18"/>
      <c r="R131" s="18"/>
      <c r="S131" s="18"/>
      <c r="T131" s="18"/>
      <c r="U131" s="18"/>
      <c r="V131" s="18"/>
      <c r="W131" s="18"/>
      <c r="X131" s="18"/>
      <c r="Y131" s="18"/>
    </row>
    <row r="132" spans="1:25" ht="32.25" customHeight="1">
      <c r="A132" s="172" t="s">
        <v>98</v>
      </c>
      <c r="B132" s="23" t="s">
        <v>90</v>
      </c>
      <c r="C132" s="24" t="s">
        <v>114</v>
      </c>
      <c r="D132" s="25" t="s">
        <v>100</v>
      </c>
      <c r="E132" s="93"/>
      <c r="K132" s="177"/>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103</v>
      </c>
      <c r="E133" s="79" t="str">
        <f t="shared" ref="E133:E167" si="6">IF(D133&lt;&gt;"",IF(AND(B133&lt;&gt;"",C133&lt;&gt;""),"","ERR"),"")</f>
        <v/>
      </c>
      <c r="F133" s="86" t="s">
        <v>101</v>
      </c>
      <c r="G133" s="87" t="s">
        <v>102</v>
      </c>
      <c r="H133" s="88" t="s">
        <v>103</v>
      </c>
      <c r="I133" s="89" t="s">
        <v>93</v>
      </c>
      <c r="J133" s="90" t="s">
        <v>91</v>
      </c>
      <c r="K133" s="180" t="s">
        <v>97</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Aviso legal</v>
      </c>
      <c r="C134" s="85" t="str" cm="1">
        <f t="array" ref="C134">IFERROR(INDEX('03.Muestra'!$F$8:$F$42,SMALL(IF("Página Web"='03.Muestra'!$D$8:$D$42,ROW('03.Muestra'!$F$8:$F$42)-MIN(ROW('03.Muestra'!$D$8:$D$42))+1,""),ROW()-132)),"")</f>
        <v>https://www.comunidad.madrid/transparencia/aviso-legal</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81">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Accesibilidad</v>
      </c>
      <c r="C135" s="85" t="str" cm="1">
        <f t="array" ref="C135">IFERROR(INDEX('03.Muestra'!$F$8:$F$42,SMALL(IF("Página Web"='03.Muestra'!$D$8:$D$42,ROW('03.Muestra'!$F$8:$F$42)-MIN(ROW('03.Muestra'!$D$8:$D$42))+1,""),ROW()-132)),"")</f>
        <v>https://www.comunidad.madrid/transparencia/declaracion-accesibilidad</v>
      </c>
      <c r="D135" s="99" t="s">
        <v>103</v>
      </c>
      <c r="E135" s="79" t="str">
        <f t="shared" si="6"/>
        <v/>
      </c>
      <c r="G135" s="18"/>
      <c r="H135" s="18"/>
      <c r="I135" s="18"/>
      <c r="J135" s="18"/>
      <c r="K135" s="177"/>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Tranparencia</v>
      </c>
      <c r="C136" s="85" t="str" cm="1">
        <f t="array" ref="C136">IFERROR(INDEX('03.Muestra'!$F$8:$F$42,SMALL(IF("Página Web"='03.Muestra'!$D$8:$D$42,ROW('03.Muestra'!$F$8:$F$42)-MIN(ROW('03.Muestra'!$D$8:$D$42))+1,""),ROW()-132)),"")</f>
        <v>https://www.comunidad.madrid/transparencia/que-es-transparencia</v>
      </c>
      <c r="D136" s="99" t="s">
        <v>103</v>
      </c>
      <c r="E136" s="79" t="str">
        <f t="shared" si="6"/>
        <v/>
      </c>
      <c r="G136" s="18"/>
      <c r="H136" s="18"/>
      <c r="I136" s="18"/>
      <c r="J136" s="18"/>
      <c r="K136" s="177"/>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Organización</v>
      </c>
      <c r="C137" s="85" t="str" cm="1">
        <f t="array" ref="C137">IFERROR(INDEX('03.Muestra'!$F$8:$F$42,SMALL(IF("Página Web"='03.Muestra'!$D$8:$D$42,ROW('03.Muestra'!$F$8:$F$42)-MIN(ROW('03.Muestra'!$D$8:$D$42))+1,""),ROW()-132)),"")</f>
        <v>https://www.comunidad.madrid/transparencia/organizacion-recursos/organizacion</v>
      </c>
      <c r="D137" s="99" t="s">
        <v>103</v>
      </c>
      <c r="E137" s="79" t="str">
        <f t="shared" si="6"/>
        <v/>
      </c>
      <c r="G137" s="18"/>
      <c r="H137" s="18"/>
      <c r="I137" s="18"/>
      <c r="J137" s="18"/>
      <c r="K137" s="177"/>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Quejas</v>
      </c>
      <c r="C138" s="85" t="str" cm="1">
        <f t="array" ref="C138">IFERROR(INDEX('03.Muestra'!$F$8:$F$42,SMALL(IF("Página Web"='03.Muestra'!$D$8:$D$42,ROW('03.Muestra'!$F$8:$F$42)-MIN(ROW('03.Muestra'!$D$8:$D$42))+1,""),ROW()-132)),"")</f>
        <v>https://www.comunidad.madrid/transparencia/quejas-y-reclamaciones</v>
      </c>
      <c r="D138" s="99" t="s">
        <v>103</v>
      </c>
      <c r="E138" s="79" t="str">
        <f t="shared" si="6"/>
        <v/>
      </c>
      <c r="G138" s="18"/>
      <c r="H138" s="18"/>
      <c r="I138" s="18"/>
      <c r="J138" s="18"/>
      <c r="K138" s="177"/>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Contratos</v>
      </c>
      <c r="C139" s="85" t="str" cm="1">
        <f t="array" ref="C139">IFERROR(INDEX('03.Muestra'!$F$8:$F$42,SMALL(IF("Página Web"='03.Muestra'!$D$8:$D$42,ROW('03.Muestra'!$F$8:$F$42)-MIN(ROW('03.Muestra'!$D$8:$D$42))+1,""),ROW()-132)),"")</f>
        <v>https://www.comunidad.madrid/transparencia/contratos</v>
      </c>
      <c r="D139" s="99" t="s">
        <v>103</v>
      </c>
      <c r="E139" s="79" t="str">
        <f t="shared" si="6"/>
        <v/>
      </c>
      <c r="F139" s="18"/>
      <c r="G139" s="18"/>
      <c r="H139" s="18"/>
      <c r="I139" s="18"/>
      <c r="J139" s="18"/>
      <c r="K139" s="177"/>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v>
      </c>
      <c r="C140" s="85" t="str" cm="1">
        <f t="array" ref="C140">IFERROR(INDEX('03.Muestra'!$F$8:$F$42,SMALL(IF("Página Web"='03.Muestra'!$D$8:$D$42,ROW('03.Muestra'!$F$8:$F$42)-MIN(ROW('03.Muestra'!$D$8:$D$42))+1,""),ROW()-132)),"")</f>
        <v>https://www.comunidad.madrid/transparencia/normativa-planificacion/consulta-publica</v>
      </c>
      <c r="D140" s="99" t="s">
        <v>103</v>
      </c>
      <c r="E140" s="79" t="str">
        <f t="shared" si="6"/>
        <v/>
      </c>
      <c r="F140" s="18"/>
      <c r="G140" s="18"/>
      <c r="H140" s="18"/>
      <c r="I140" s="18"/>
      <c r="J140" s="18"/>
      <c r="K140" s="177"/>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Proyecto</v>
      </c>
      <c r="C141" s="85" t="str" cm="1">
        <f t="array" ref="C141">IFERROR(INDEX('03.Muestra'!$F$8:$F$42,SMALL(IF("Página Web"='03.Muestra'!$D$8:$D$42,ROW('03.Muestra'!$F$8:$F$42)-MIN(ROW('03.Muestra'!$D$8:$D$42))+1,""),ROW()-132)),"")</f>
        <v>https://www.comunidad.madrid/transparencia/proyecto-orden-que-se-crea-comision-farmacia-y-productos-sanitarios-cm-y-se-establece-su-composicion</v>
      </c>
      <c r="D141" s="99" t="s">
        <v>103</v>
      </c>
      <c r="E141" s="79" t="str">
        <f t="shared" si="6"/>
        <v/>
      </c>
      <c r="F141" s="18"/>
      <c r="G141" s="18"/>
      <c r="H141" s="18"/>
      <c r="I141" s="18"/>
      <c r="J141" s="18"/>
      <c r="K141" s="177"/>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Planes y Programas</v>
      </c>
      <c r="C142" s="85" t="str" cm="1">
        <f t="array" ref="C142">IFERROR(INDEX('03.Muestra'!$F$8:$F$42,SMALL(IF("Página Web"='03.Muestra'!$D$8:$D$42,ROW('03.Muestra'!$F$8:$F$42)-MIN(ROW('03.Muestra'!$D$8:$D$42))+1,""),ROW()-132)),"")</f>
        <v>https://www.comunidad.madrid/transparencia/normativa-planificacion/planes-programas</v>
      </c>
      <c r="D142" s="99" t="s">
        <v>103</v>
      </c>
      <c r="E142" s="79" t="str">
        <f t="shared" si="6"/>
        <v/>
      </c>
      <c r="F142" s="18"/>
      <c r="G142" s="18"/>
      <c r="H142" s="18"/>
      <c r="I142" s="18"/>
      <c r="J142" s="18"/>
      <c r="K142" s="177"/>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Estrategia</v>
      </c>
      <c r="C143" s="85" t="str" cm="1">
        <f t="array" ref="C143">IFERROR(INDEX('03.Muestra'!$F$8:$F$42,SMALL(IF("Página Web"='03.Muestra'!$D$8:$D$42,ROW('03.Muestra'!$F$8:$F$42)-MIN(ROW('03.Muestra'!$D$8:$D$42))+1,""),ROW()-132)),"")</f>
        <v>https://www.comunidad.madrid/transparencia/informacion-institucional/planes-programas/estrategia-seguridad-del-paciente-del-servicio-madrileno</v>
      </c>
      <c r="D143" s="99" t="s">
        <v>103</v>
      </c>
      <c r="E143" s="79" t="str">
        <f t="shared" si="6"/>
        <v/>
      </c>
      <c r="F143" s="18"/>
      <c r="G143" s="18"/>
      <c r="H143" s="18"/>
      <c r="I143" s="18"/>
      <c r="J143" s="18"/>
      <c r="K143" s="177"/>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Huella</v>
      </c>
      <c r="C144" s="85" t="str" cm="1">
        <f t="array" ref="C144">IFERROR(INDEX('03.Muestra'!$F$8:$F$42,SMALL(IF("Página Web"='03.Muestra'!$D$8:$D$42,ROW('03.Muestra'!$F$8:$F$42)-MIN(ROW('03.Muestra'!$D$8:$D$42))+1,""),ROW()-132)),"")</f>
        <v>https://www.comunidad.madrid/transparencia/normativa-planificacion/huella-normativa</v>
      </c>
      <c r="D144" s="99" t="s">
        <v>103</v>
      </c>
      <c r="E144" s="79" t="str">
        <f t="shared" si="6"/>
        <v/>
      </c>
      <c r="F144" s="18"/>
      <c r="G144" s="18"/>
      <c r="H144" s="18"/>
      <c r="I144" s="18"/>
      <c r="J144" s="18"/>
      <c r="K144" s="177"/>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Decreto</v>
      </c>
      <c r="C145" s="85" t="str" cm="1">
        <f t="array" ref="C145">IFERROR(INDEX('03.Muestra'!$F$8:$F$42,SMALL(IF("Página Web"='03.Muestra'!$D$8:$D$42,ROW('03.Muestra'!$F$8:$F$42)-MIN(ROW('03.Muestra'!$D$8:$D$42))+1,""),ROW()-132)),"")</f>
        <v>https://www.comunidad.madrid/transparencia/decreto-del-consejo-gobierno-que-se-establece-estructura-organica-consejeria-familia-juventud-y</v>
      </c>
      <c r="D145" s="99" t="s">
        <v>103</v>
      </c>
      <c r="E145" s="79" t="str">
        <f t="shared" si="6"/>
        <v/>
      </c>
      <c r="F145" s="18"/>
      <c r="G145" s="18"/>
      <c r="H145" s="18"/>
      <c r="I145" s="18"/>
      <c r="J145" s="18"/>
      <c r="K145" s="177"/>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Entidades Locales</v>
      </c>
      <c r="C146" s="85" t="str" cm="1">
        <f t="array" ref="C146">IFERROR(INDEX('03.Muestra'!$F$8:$F$42,SMALL(IF("Página Web"='03.Muestra'!$D$8:$D$42,ROW('03.Muestra'!$F$8:$F$42)-MIN(ROW('03.Muestra'!$D$8:$D$42))+1,""),ROW()-132)),"")</f>
        <v>https://www.comunidad.madrid/transparencia/entidades-locales</v>
      </c>
      <c r="D146" s="99" t="s">
        <v>103</v>
      </c>
      <c r="E146" s="79" t="str">
        <f t="shared" si="6"/>
        <v/>
      </c>
      <c r="F146" s="18"/>
      <c r="G146" s="18"/>
      <c r="H146" s="18"/>
      <c r="I146" s="18"/>
      <c r="J146" s="18"/>
      <c r="K146" s="177"/>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77"/>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7"/>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7"/>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7"/>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7"/>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7"/>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7"/>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7"/>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7"/>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7"/>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7"/>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7"/>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7"/>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7"/>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7"/>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7"/>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7"/>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7"/>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7"/>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7"/>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7"/>
      <c r="L167" s="18"/>
      <c r="M167" s="18"/>
      <c r="N167" s="18"/>
      <c r="O167" s="18"/>
      <c r="P167" s="18"/>
      <c r="Q167" s="18"/>
      <c r="R167" s="18"/>
      <c r="S167" s="18"/>
      <c r="T167" s="18"/>
      <c r="U167" s="18"/>
      <c r="V167" s="18"/>
      <c r="W167" s="18"/>
      <c r="X167" s="18"/>
      <c r="Y167" s="18"/>
    </row>
    <row r="168" spans="1:25" ht="12" customHeight="1">
      <c r="A168" s="84"/>
      <c r="B168" s="123"/>
      <c r="C168" s="123"/>
      <c r="D168" s="124"/>
      <c r="E168" s="79"/>
      <c r="F168" s="18"/>
      <c r="G168" s="18"/>
      <c r="H168" s="18"/>
      <c r="I168" s="18"/>
      <c r="J168" s="18"/>
      <c r="K168" s="177"/>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7"/>
      <c r="L169" s="18"/>
      <c r="M169" s="18"/>
      <c r="N169" s="18"/>
      <c r="O169" s="18"/>
      <c r="P169" s="18"/>
      <c r="Q169" s="18"/>
      <c r="R169" s="18"/>
      <c r="S169" s="18"/>
      <c r="T169" s="18"/>
      <c r="U169" s="18"/>
      <c r="V169" s="18"/>
      <c r="W169" s="18"/>
      <c r="X169" s="18"/>
      <c r="Y169" s="18"/>
    </row>
    <row r="170" spans="1:25" ht="32.25" customHeight="1">
      <c r="A170" s="172" t="s">
        <v>98</v>
      </c>
      <c r="B170" s="23" t="s">
        <v>90</v>
      </c>
      <c r="C170" s="24" t="s">
        <v>115</v>
      </c>
      <c r="D170" s="25" t="s">
        <v>100</v>
      </c>
      <c r="E170" s="93"/>
      <c r="K170" s="177"/>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103</v>
      </c>
      <c r="E171" s="79" t="str">
        <f t="shared" ref="E171:E205" si="8">IF(D171&lt;&gt;"",IF(AND(B171&lt;&gt;"",C171&lt;&gt;""),"","ERR"),"")</f>
        <v/>
      </c>
      <c r="F171" s="86" t="s">
        <v>101</v>
      </c>
      <c r="G171" s="87" t="s">
        <v>102</v>
      </c>
      <c r="H171" s="88" t="s">
        <v>103</v>
      </c>
      <c r="I171" s="89" t="s">
        <v>93</v>
      </c>
      <c r="J171" s="90" t="s">
        <v>91</v>
      </c>
      <c r="K171" s="180" t="s">
        <v>97</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Aviso legal</v>
      </c>
      <c r="C172" s="85" t="str" cm="1">
        <f t="array" ref="C172">IFERROR(INDEX('03.Muestra'!$F$8:$F$42,SMALL(IF("Página Web"='03.Muestra'!$D$8:$D$42,ROW('03.Muestra'!$F$8:$F$42)-MIN(ROW('03.Muestra'!$D$8:$D$42))+1,""),ROW()-170)),"")</f>
        <v>https://www.comunidad.madrid/transparencia/aviso-legal</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1">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Accesibilidad</v>
      </c>
      <c r="C173" s="85" t="str" cm="1">
        <f t="array" ref="C173">IFERROR(INDEX('03.Muestra'!$F$8:$F$42,SMALL(IF("Página Web"='03.Muestra'!$D$8:$D$42,ROW('03.Muestra'!$F$8:$F$42)-MIN(ROW('03.Muestra'!$D$8:$D$42))+1,""),ROW()-170)),"")</f>
        <v>https://www.comunidad.madrid/transparencia/declaracion-accesibilidad</v>
      </c>
      <c r="D173" s="99" t="s">
        <v>103</v>
      </c>
      <c r="E173" s="79" t="str">
        <f t="shared" si="8"/>
        <v/>
      </c>
      <c r="G173" s="18"/>
      <c r="H173" s="18"/>
      <c r="I173" s="18"/>
      <c r="J173" s="18"/>
      <c r="K173" s="177"/>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Tranparencia</v>
      </c>
      <c r="C174" s="85" t="str" cm="1">
        <f t="array" ref="C174">IFERROR(INDEX('03.Muestra'!$F$8:$F$42,SMALL(IF("Página Web"='03.Muestra'!$D$8:$D$42,ROW('03.Muestra'!$F$8:$F$42)-MIN(ROW('03.Muestra'!$D$8:$D$42))+1,""),ROW()-170)),"")</f>
        <v>https://www.comunidad.madrid/transparencia/que-es-transparencia</v>
      </c>
      <c r="D174" s="99" t="s">
        <v>103</v>
      </c>
      <c r="E174" s="79" t="str">
        <f t="shared" si="8"/>
        <v/>
      </c>
      <c r="G174" s="18"/>
      <c r="H174" s="18"/>
      <c r="I174" s="18"/>
      <c r="J174" s="18"/>
      <c r="K174" s="177"/>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Organización</v>
      </c>
      <c r="C175" s="85" t="str" cm="1">
        <f t="array" ref="C175">IFERROR(INDEX('03.Muestra'!$F$8:$F$42,SMALL(IF("Página Web"='03.Muestra'!$D$8:$D$42,ROW('03.Muestra'!$F$8:$F$42)-MIN(ROW('03.Muestra'!$D$8:$D$42))+1,""),ROW()-170)),"")</f>
        <v>https://www.comunidad.madrid/transparencia/organizacion-recursos/organizacion</v>
      </c>
      <c r="D175" s="99" t="s">
        <v>103</v>
      </c>
      <c r="E175" s="79" t="str">
        <f t="shared" si="8"/>
        <v/>
      </c>
      <c r="G175" s="18"/>
      <c r="H175" s="18"/>
      <c r="I175" s="18"/>
      <c r="J175" s="18"/>
      <c r="K175" s="177"/>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Quejas</v>
      </c>
      <c r="C176" s="85" t="str" cm="1">
        <f t="array" ref="C176">IFERROR(INDEX('03.Muestra'!$F$8:$F$42,SMALL(IF("Página Web"='03.Muestra'!$D$8:$D$42,ROW('03.Muestra'!$F$8:$F$42)-MIN(ROW('03.Muestra'!$D$8:$D$42))+1,""),ROW()-170)),"")</f>
        <v>https://www.comunidad.madrid/transparencia/quejas-y-reclamaciones</v>
      </c>
      <c r="D176" s="99" t="s">
        <v>103</v>
      </c>
      <c r="E176" s="79" t="str">
        <f t="shared" si="8"/>
        <v/>
      </c>
      <c r="G176" s="18"/>
      <c r="H176" s="18"/>
      <c r="I176" s="18"/>
      <c r="J176" s="18"/>
      <c r="K176" s="177"/>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Contratos</v>
      </c>
      <c r="C177" s="85" t="str" cm="1">
        <f t="array" ref="C177">IFERROR(INDEX('03.Muestra'!$F$8:$F$42,SMALL(IF("Página Web"='03.Muestra'!$D$8:$D$42,ROW('03.Muestra'!$F$8:$F$42)-MIN(ROW('03.Muestra'!$D$8:$D$42))+1,""),ROW()-170)),"")</f>
        <v>https://www.comunidad.madrid/transparencia/contratos</v>
      </c>
      <c r="D177" s="99" t="s">
        <v>103</v>
      </c>
      <c r="E177" s="79" t="str">
        <f t="shared" si="8"/>
        <v/>
      </c>
      <c r="F177" s="18"/>
      <c r="G177" s="18"/>
      <c r="H177" s="18"/>
      <c r="I177" s="18"/>
      <c r="J177" s="18"/>
      <c r="K177" s="177"/>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v>
      </c>
      <c r="C178" s="85" t="str" cm="1">
        <f t="array" ref="C178">IFERROR(INDEX('03.Muestra'!$F$8:$F$42,SMALL(IF("Página Web"='03.Muestra'!$D$8:$D$42,ROW('03.Muestra'!$F$8:$F$42)-MIN(ROW('03.Muestra'!$D$8:$D$42))+1,""),ROW()-170)),"")</f>
        <v>https://www.comunidad.madrid/transparencia/normativa-planificacion/consulta-publica</v>
      </c>
      <c r="D178" s="99" t="s">
        <v>103</v>
      </c>
      <c r="E178" s="79" t="str">
        <f t="shared" si="8"/>
        <v/>
      </c>
      <c r="F178" s="18"/>
      <c r="G178" s="18"/>
      <c r="H178" s="18"/>
      <c r="I178" s="18"/>
      <c r="J178" s="18"/>
      <c r="K178" s="177"/>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Proyecto</v>
      </c>
      <c r="C179" s="85" t="str" cm="1">
        <f t="array" ref="C179">IFERROR(INDEX('03.Muestra'!$F$8:$F$42,SMALL(IF("Página Web"='03.Muestra'!$D$8:$D$42,ROW('03.Muestra'!$F$8:$F$42)-MIN(ROW('03.Muestra'!$D$8:$D$42))+1,""),ROW()-170)),"")</f>
        <v>https://www.comunidad.madrid/transparencia/proyecto-orden-que-se-crea-comision-farmacia-y-productos-sanitarios-cm-y-se-establece-su-composicion</v>
      </c>
      <c r="D179" s="99" t="s">
        <v>103</v>
      </c>
      <c r="E179" s="79" t="str">
        <f t="shared" si="8"/>
        <v/>
      </c>
      <c r="F179" s="18"/>
      <c r="G179" s="18"/>
      <c r="H179" s="18"/>
      <c r="I179" s="18"/>
      <c r="J179" s="18"/>
      <c r="K179" s="177"/>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Planes y Programas</v>
      </c>
      <c r="C180" s="85" t="str" cm="1">
        <f t="array" ref="C180">IFERROR(INDEX('03.Muestra'!$F$8:$F$42,SMALL(IF("Página Web"='03.Muestra'!$D$8:$D$42,ROW('03.Muestra'!$F$8:$F$42)-MIN(ROW('03.Muestra'!$D$8:$D$42))+1,""),ROW()-170)),"")</f>
        <v>https://www.comunidad.madrid/transparencia/normativa-planificacion/planes-programas</v>
      </c>
      <c r="D180" s="99" t="s">
        <v>103</v>
      </c>
      <c r="E180" s="79" t="str">
        <f t="shared" si="8"/>
        <v/>
      </c>
      <c r="F180" s="18"/>
      <c r="G180" s="18"/>
      <c r="H180" s="18"/>
      <c r="I180" s="18"/>
      <c r="J180" s="18"/>
      <c r="K180" s="177"/>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Estrategia</v>
      </c>
      <c r="C181" s="85" t="str" cm="1">
        <f t="array" ref="C181">IFERROR(INDEX('03.Muestra'!$F$8:$F$42,SMALL(IF("Página Web"='03.Muestra'!$D$8:$D$42,ROW('03.Muestra'!$F$8:$F$42)-MIN(ROW('03.Muestra'!$D$8:$D$42))+1,""),ROW()-170)),"")</f>
        <v>https://www.comunidad.madrid/transparencia/informacion-institucional/planes-programas/estrategia-seguridad-del-paciente-del-servicio-madrileno</v>
      </c>
      <c r="D181" s="99" t="s">
        <v>103</v>
      </c>
      <c r="E181" s="79" t="str">
        <f t="shared" si="8"/>
        <v/>
      </c>
      <c r="F181" s="18"/>
      <c r="G181" s="18"/>
      <c r="H181" s="18"/>
      <c r="I181" s="18"/>
      <c r="J181" s="18"/>
      <c r="K181" s="177"/>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Huella</v>
      </c>
      <c r="C182" s="85" t="str" cm="1">
        <f t="array" ref="C182">IFERROR(INDEX('03.Muestra'!$F$8:$F$42,SMALL(IF("Página Web"='03.Muestra'!$D$8:$D$42,ROW('03.Muestra'!$F$8:$F$42)-MIN(ROW('03.Muestra'!$D$8:$D$42))+1,""),ROW()-170)),"")</f>
        <v>https://www.comunidad.madrid/transparencia/normativa-planificacion/huella-normativa</v>
      </c>
      <c r="D182" s="99" t="s">
        <v>103</v>
      </c>
      <c r="E182" s="79" t="str">
        <f t="shared" si="8"/>
        <v/>
      </c>
      <c r="F182" s="18"/>
      <c r="G182" s="18"/>
      <c r="H182" s="18"/>
      <c r="I182" s="18"/>
      <c r="J182" s="18"/>
      <c r="K182" s="177"/>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Decreto</v>
      </c>
      <c r="C183" s="85" t="str" cm="1">
        <f t="array" ref="C183">IFERROR(INDEX('03.Muestra'!$F$8:$F$42,SMALL(IF("Página Web"='03.Muestra'!$D$8:$D$42,ROW('03.Muestra'!$F$8:$F$42)-MIN(ROW('03.Muestra'!$D$8:$D$42))+1,""),ROW()-170)),"")</f>
        <v>https://www.comunidad.madrid/transparencia/decreto-del-consejo-gobierno-que-se-establece-estructura-organica-consejeria-familia-juventud-y</v>
      </c>
      <c r="D183" s="99" t="s">
        <v>103</v>
      </c>
      <c r="E183" s="79" t="str">
        <f t="shared" si="8"/>
        <v/>
      </c>
      <c r="F183" s="18"/>
      <c r="G183" s="18"/>
      <c r="H183" s="18"/>
      <c r="I183" s="18"/>
      <c r="J183" s="18"/>
      <c r="K183" s="177"/>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Entidades Locales</v>
      </c>
      <c r="C184" s="85" t="str" cm="1">
        <f t="array" ref="C184">IFERROR(INDEX('03.Muestra'!$F$8:$F$42,SMALL(IF("Página Web"='03.Muestra'!$D$8:$D$42,ROW('03.Muestra'!$F$8:$F$42)-MIN(ROW('03.Muestra'!$D$8:$D$42))+1,""),ROW()-170)),"")</f>
        <v>https://www.comunidad.madrid/transparencia/entidades-locales</v>
      </c>
      <c r="D184" s="99" t="s">
        <v>103</v>
      </c>
      <c r="E184" s="79" t="str">
        <f t="shared" si="8"/>
        <v/>
      </c>
      <c r="F184" s="18"/>
      <c r="G184" s="18"/>
      <c r="H184" s="18"/>
      <c r="I184" s="18"/>
      <c r="J184" s="18"/>
      <c r="K184" s="177"/>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77"/>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7"/>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7"/>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7"/>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7"/>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7"/>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7"/>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7"/>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7"/>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7"/>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7"/>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7"/>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7"/>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7"/>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7"/>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7"/>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7"/>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7"/>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7"/>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7"/>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7"/>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7"/>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7"/>
      <c r="L207" s="18"/>
      <c r="M207" s="18"/>
      <c r="N207" s="18"/>
      <c r="O207" s="18"/>
      <c r="P207" s="18"/>
      <c r="Q207" s="18"/>
      <c r="R207" s="18"/>
      <c r="S207" s="18"/>
      <c r="T207" s="18"/>
      <c r="U207" s="18"/>
      <c r="V207" s="18"/>
      <c r="W207" s="18"/>
      <c r="X207" s="18"/>
      <c r="Y207" s="18"/>
    </row>
    <row r="208" spans="1:25" ht="32.25" customHeight="1">
      <c r="A208" s="172" t="s">
        <v>98</v>
      </c>
      <c r="B208" s="23" t="s">
        <v>90</v>
      </c>
      <c r="C208" s="171" t="s">
        <v>116</v>
      </c>
      <c r="D208" s="25" t="s">
        <v>100</v>
      </c>
      <c r="E208" s="93"/>
      <c r="K208" s="177"/>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https://www.comunidad.madrid/transparencia/</v>
      </c>
      <c r="D209" s="99" t="s">
        <v>103</v>
      </c>
      <c r="E209" s="79" t="str">
        <f t="shared" ref="E209:E243" si="10">IF(D209&lt;&gt;"",IF(AND(B209&lt;&gt;"",C209&lt;&gt;""),"","ERR"),"")</f>
        <v/>
      </c>
      <c r="F209" s="86" t="s">
        <v>101</v>
      </c>
      <c r="G209" s="87" t="s">
        <v>102</v>
      </c>
      <c r="H209" s="88" t="s">
        <v>103</v>
      </c>
      <c r="I209" s="89" t="s">
        <v>93</v>
      </c>
      <c r="J209" s="90" t="s">
        <v>91</v>
      </c>
      <c r="K209" s="180" t="s">
        <v>97</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Aviso legal</v>
      </c>
      <c r="C210" s="85" t="str" cm="1">
        <f t="array" ref="C210">IFERROR(INDEX('03.Muestra'!$F$8:$F$42,SMALL(IF("Página Web"='03.Muestra'!$D$8:$D$42,ROW('03.Muestra'!$F$8:$F$42)-MIN(ROW('03.Muestra'!$D$8:$D$42))+1,""),ROW()-208)),"")</f>
        <v>https://www.comunidad.madrid/transparencia/aviso-legal</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14</v>
      </c>
      <c r="I210" s="91">
        <f ca="1">COUNTIF($D209:INDIRECT("$D" &amp;  SUM(ROW()-1,'03.Muestra'!$D$45)-1),I209)</f>
        <v>0</v>
      </c>
      <c r="J210" s="91">
        <f ca="1">COUNTIF($D209:INDIRECT("$D" &amp;  SUM(ROW()-1,'03.Muestra'!$D$45)-1),J209)</f>
        <v>0</v>
      </c>
      <c r="K210" s="181">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Accesibilidad</v>
      </c>
      <c r="C211" s="85" t="str" cm="1">
        <f t="array" ref="C211">IFERROR(INDEX('03.Muestra'!$F$8:$F$42,SMALL(IF("Página Web"='03.Muestra'!$D$8:$D$42,ROW('03.Muestra'!$F$8:$F$42)-MIN(ROW('03.Muestra'!$D$8:$D$42))+1,""),ROW()-208)),"")</f>
        <v>https://www.comunidad.madrid/transparencia/declaracion-accesibilidad</v>
      </c>
      <c r="D211" s="99" t="s">
        <v>103</v>
      </c>
      <c r="E211" s="79" t="str">
        <f t="shared" si="10"/>
        <v/>
      </c>
      <c r="G211" s="18"/>
      <c r="H211" s="18"/>
      <c r="I211" s="18"/>
      <c r="J211" s="18"/>
      <c r="K211" s="177"/>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Tranparencia</v>
      </c>
      <c r="C212" s="85" t="str" cm="1">
        <f t="array" ref="C212">IFERROR(INDEX('03.Muestra'!$F$8:$F$42,SMALL(IF("Página Web"='03.Muestra'!$D$8:$D$42,ROW('03.Muestra'!$F$8:$F$42)-MIN(ROW('03.Muestra'!$D$8:$D$42))+1,""),ROW()-208)),"")</f>
        <v>https://www.comunidad.madrid/transparencia/que-es-transparencia</v>
      </c>
      <c r="D212" s="99" t="s">
        <v>103</v>
      </c>
      <c r="E212" s="79" t="str">
        <f t="shared" si="10"/>
        <v/>
      </c>
      <c r="G212" s="18"/>
      <c r="H212" s="18"/>
      <c r="I212" s="18"/>
      <c r="J212" s="18"/>
      <c r="K212" s="177"/>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Organización</v>
      </c>
      <c r="C213" s="85" t="str" cm="1">
        <f t="array" ref="C213">IFERROR(INDEX('03.Muestra'!$F$8:$F$42,SMALL(IF("Página Web"='03.Muestra'!$D$8:$D$42,ROW('03.Muestra'!$F$8:$F$42)-MIN(ROW('03.Muestra'!$D$8:$D$42))+1,""),ROW()-208)),"")</f>
        <v>https://www.comunidad.madrid/transparencia/organizacion-recursos/organizacion</v>
      </c>
      <c r="D213" s="99" t="s">
        <v>103</v>
      </c>
      <c r="E213" s="79" t="str">
        <f t="shared" si="10"/>
        <v/>
      </c>
      <c r="G213" s="18"/>
      <c r="H213" s="18"/>
      <c r="I213" s="18"/>
      <c r="J213" s="18"/>
      <c r="K213" s="177"/>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Quejas</v>
      </c>
      <c r="C214" s="85" t="str" cm="1">
        <f t="array" ref="C214">IFERROR(INDEX('03.Muestra'!$F$8:$F$42,SMALL(IF("Página Web"='03.Muestra'!$D$8:$D$42,ROW('03.Muestra'!$F$8:$F$42)-MIN(ROW('03.Muestra'!$D$8:$D$42))+1,""),ROW()-208)),"")</f>
        <v>https://www.comunidad.madrid/transparencia/quejas-y-reclamaciones</v>
      </c>
      <c r="D214" s="99" t="s">
        <v>103</v>
      </c>
      <c r="E214" s="79" t="str">
        <f t="shared" si="10"/>
        <v/>
      </c>
      <c r="G214" s="18"/>
      <c r="H214" s="18"/>
      <c r="I214" s="18"/>
      <c r="J214" s="18"/>
      <c r="K214" s="177"/>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Contratos</v>
      </c>
      <c r="C215" s="85" t="str" cm="1">
        <f t="array" ref="C215">IFERROR(INDEX('03.Muestra'!$F$8:$F$42,SMALL(IF("Página Web"='03.Muestra'!$D$8:$D$42,ROW('03.Muestra'!$F$8:$F$42)-MIN(ROW('03.Muestra'!$D$8:$D$42))+1,""),ROW()-208)),"")</f>
        <v>https://www.comunidad.madrid/transparencia/contratos</v>
      </c>
      <c r="D215" s="99" t="s">
        <v>103</v>
      </c>
      <c r="E215" s="79" t="str">
        <f t="shared" si="10"/>
        <v/>
      </c>
      <c r="F215" s="18"/>
      <c r="G215" s="18"/>
      <c r="H215" s="18"/>
      <c r="I215" s="18"/>
      <c r="J215" s="18"/>
      <c r="K215" s="177"/>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Consulta</v>
      </c>
      <c r="C216" s="85" t="str" cm="1">
        <f t="array" ref="C216">IFERROR(INDEX('03.Muestra'!$F$8:$F$42,SMALL(IF("Página Web"='03.Muestra'!$D$8:$D$42,ROW('03.Muestra'!$F$8:$F$42)-MIN(ROW('03.Muestra'!$D$8:$D$42))+1,""),ROW()-208)),"")</f>
        <v>https://www.comunidad.madrid/transparencia/normativa-planificacion/consulta-publica</v>
      </c>
      <c r="D216" s="99" t="s">
        <v>103</v>
      </c>
      <c r="E216" s="79" t="str">
        <f t="shared" si="10"/>
        <v/>
      </c>
      <c r="F216" s="18"/>
      <c r="G216" s="18"/>
      <c r="H216" s="18"/>
      <c r="I216" s="18"/>
      <c r="J216" s="18"/>
      <c r="K216" s="177"/>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Proyecto</v>
      </c>
      <c r="C217" s="85" t="str" cm="1">
        <f t="array" ref="C217">IFERROR(INDEX('03.Muestra'!$F$8:$F$42,SMALL(IF("Página Web"='03.Muestra'!$D$8:$D$42,ROW('03.Muestra'!$F$8:$F$42)-MIN(ROW('03.Muestra'!$D$8:$D$42))+1,""),ROW()-208)),"")</f>
        <v>https://www.comunidad.madrid/transparencia/proyecto-orden-que-se-crea-comision-farmacia-y-productos-sanitarios-cm-y-se-establece-su-composicion</v>
      </c>
      <c r="D217" s="99" t="s">
        <v>103</v>
      </c>
      <c r="E217" s="79" t="str">
        <f t="shared" si="10"/>
        <v/>
      </c>
      <c r="F217" s="18"/>
      <c r="G217" s="18"/>
      <c r="H217" s="18"/>
      <c r="I217" s="18"/>
      <c r="J217" s="18"/>
      <c r="K217" s="177"/>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Planes y Programas</v>
      </c>
      <c r="C218" s="85" t="str" cm="1">
        <f t="array" ref="C218">IFERROR(INDEX('03.Muestra'!$F$8:$F$42,SMALL(IF("Página Web"='03.Muestra'!$D$8:$D$42,ROW('03.Muestra'!$F$8:$F$42)-MIN(ROW('03.Muestra'!$D$8:$D$42))+1,""),ROW()-208)),"")</f>
        <v>https://www.comunidad.madrid/transparencia/normativa-planificacion/planes-programas</v>
      </c>
      <c r="D218" s="99" t="s">
        <v>103</v>
      </c>
      <c r="E218" s="79" t="str">
        <f t="shared" si="10"/>
        <v/>
      </c>
      <c r="F218" s="18"/>
      <c r="G218" s="18"/>
      <c r="H218" s="18"/>
      <c r="I218" s="18"/>
      <c r="J218" s="18"/>
      <c r="K218" s="177"/>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Estrategia</v>
      </c>
      <c r="C219" s="85" t="str" cm="1">
        <f t="array" ref="C219">IFERROR(INDEX('03.Muestra'!$F$8:$F$42,SMALL(IF("Página Web"='03.Muestra'!$D$8:$D$42,ROW('03.Muestra'!$F$8:$F$42)-MIN(ROW('03.Muestra'!$D$8:$D$42))+1,""),ROW()-208)),"")</f>
        <v>https://www.comunidad.madrid/transparencia/informacion-institucional/planes-programas/estrategia-seguridad-del-paciente-del-servicio-madrileno</v>
      </c>
      <c r="D219" s="99" t="s">
        <v>103</v>
      </c>
      <c r="E219" s="79" t="str">
        <f t="shared" si="10"/>
        <v/>
      </c>
      <c r="F219" s="18"/>
      <c r="G219" s="18"/>
      <c r="H219" s="18"/>
      <c r="I219" s="18"/>
      <c r="J219" s="18"/>
      <c r="K219" s="177"/>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Huella</v>
      </c>
      <c r="C220" s="85" t="str" cm="1">
        <f t="array" ref="C220">IFERROR(INDEX('03.Muestra'!$F$8:$F$42,SMALL(IF("Página Web"='03.Muestra'!$D$8:$D$42,ROW('03.Muestra'!$F$8:$F$42)-MIN(ROW('03.Muestra'!$D$8:$D$42))+1,""),ROW()-208)),"")</f>
        <v>https://www.comunidad.madrid/transparencia/normativa-planificacion/huella-normativa</v>
      </c>
      <c r="D220" s="99" t="s">
        <v>103</v>
      </c>
      <c r="E220" s="79" t="str">
        <f t="shared" si="10"/>
        <v/>
      </c>
      <c r="F220" s="18"/>
      <c r="G220" s="18"/>
      <c r="H220" s="18"/>
      <c r="I220" s="18"/>
      <c r="J220" s="18"/>
      <c r="K220" s="177"/>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Decreto</v>
      </c>
      <c r="C221" s="85" t="str" cm="1">
        <f t="array" ref="C221">IFERROR(INDEX('03.Muestra'!$F$8:$F$42,SMALL(IF("Página Web"='03.Muestra'!$D$8:$D$42,ROW('03.Muestra'!$F$8:$F$42)-MIN(ROW('03.Muestra'!$D$8:$D$42))+1,""),ROW()-208)),"")</f>
        <v>https://www.comunidad.madrid/transparencia/decreto-del-consejo-gobierno-que-se-establece-estructura-organica-consejeria-familia-juventud-y</v>
      </c>
      <c r="D221" s="99" t="s">
        <v>103</v>
      </c>
      <c r="E221" s="79" t="str">
        <f t="shared" si="10"/>
        <v/>
      </c>
      <c r="F221" s="18"/>
      <c r="G221" s="18"/>
      <c r="H221" s="18"/>
      <c r="I221" s="18"/>
      <c r="J221" s="18"/>
      <c r="K221" s="177"/>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Entidades Locales</v>
      </c>
      <c r="C222" s="85" t="str" cm="1">
        <f t="array" ref="C222">IFERROR(INDEX('03.Muestra'!$F$8:$F$42,SMALL(IF("Página Web"='03.Muestra'!$D$8:$D$42,ROW('03.Muestra'!$F$8:$F$42)-MIN(ROW('03.Muestra'!$D$8:$D$42))+1,""),ROW()-208)),"")</f>
        <v>https://www.comunidad.madrid/transparencia/entidades-locales</v>
      </c>
      <c r="D222" s="99" t="s">
        <v>103</v>
      </c>
      <c r="E222" s="79" t="str">
        <f t="shared" si="10"/>
        <v/>
      </c>
      <c r="F222" s="18"/>
      <c r="G222" s="18"/>
      <c r="H222" s="18"/>
      <c r="I222" s="18"/>
      <c r="J222" s="18"/>
      <c r="K222" s="177"/>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77"/>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7"/>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7"/>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7"/>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7"/>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7"/>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7"/>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7"/>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7"/>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7"/>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7"/>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7"/>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7"/>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7"/>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7"/>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7"/>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7"/>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7"/>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7"/>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7"/>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7"/>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7"/>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7"/>
      <c r="L245" s="18"/>
      <c r="M245" s="18"/>
      <c r="N245" s="18"/>
      <c r="O245" s="18"/>
      <c r="P245" s="18"/>
      <c r="Q245" s="18"/>
      <c r="R245" s="18"/>
      <c r="S245" s="18"/>
      <c r="T245" s="18"/>
      <c r="U245" s="18"/>
      <c r="V245" s="18"/>
      <c r="W245" s="18"/>
      <c r="X245" s="18"/>
      <c r="Y245" s="18"/>
    </row>
    <row r="246" spans="1:25" ht="32.25" customHeight="1">
      <c r="A246" s="172" t="s">
        <v>98</v>
      </c>
      <c r="B246" s="23" t="s">
        <v>90</v>
      </c>
      <c r="C246" s="171" t="s">
        <v>117</v>
      </c>
      <c r="D246" s="25" t="s">
        <v>100</v>
      </c>
      <c r="E246" s="93"/>
      <c r="K246" s="177"/>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https://www.comunidad.madrid/transparencia/</v>
      </c>
      <c r="D247" s="99" t="s">
        <v>103</v>
      </c>
      <c r="E247" s="79" t="str">
        <f t="shared" ref="E247:E281" si="12">IF(D247&lt;&gt;"",IF(AND(B247&lt;&gt;"",C247&lt;&gt;""),"","ERR"),"")</f>
        <v/>
      </c>
      <c r="F247" s="86" t="s">
        <v>101</v>
      </c>
      <c r="G247" s="87" t="s">
        <v>102</v>
      </c>
      <c r="H247" s="88" t="s">
        <v>103</v>
      </c>
      <c r="I247" s="89" t="s">
        <v>93</v>
      </c>
      <c r="J247" s="90" t="s">
        <v>91</v>
      </c>
      <c r="K247" s="180" t="s">
        <v>97</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Aviso legal</v>
      </c>
      <c r="C248" s="85" t="str" cm="1">
        <f t="array" ref="C248">IFERROR(INDEX('03.Muestra'!$F$8:$F$42,SMALL(IF("Página Web"='03.Muestra'!$D$8:$D$42,ROW('03.Muestra'!$F$8:$F$42)-MIN(ROW('03.Muestra'!$D$8:$D$42))+1,""),ROW()-246)),"")</f>
        <v>https://www.comunidad.madrid/transparencia/aviso-legal</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14</v>
      </c>
      <c r="I248" s="91">
        <f ca="1">COUNTIF($D247:INDIRECT("$D" &amp;  SUM(ROW()-1,'03.Muestra'!$D$45)-1),I247)</f>
        <v>0</v>
      </c>
      <c r="J248" s="91">
        <f ca="1">COUNTIF($D247:INDIRECT("$D" &amp;  SUM(ROW()-1,'03.Muestra'!$D$45)-1),J247)</f>
        <v>0</v>
      </c>
      <c r="K248" s="181">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Accesibilidad</v>
      </c>
      <c r="C249" s="85" t="str" cm="1">
        <f t="array" ref="C249">IFERROR(INDEX('03.Muestra'!$F$8:$F$42,SMALL(IF("Página Web"='03.Muestra'!$D$8:$D$42,ROW('03.Muestra'!$F$8:$F$42)-MIN(ROW('03.Muestra'!$D$8:$D$42))+1,""),ROW()-246)),"")</f>
        <v>https://www.comunidad.madrid/transparencia/declaracion-accesibilidad</v>
      </c>
      <c r="D249" s="99" t="s">
        <v>103</v>
      </c>
      <c r="E249" s="79" t="str">
        <f t="shared" si="12"/>
        <v/>
      </c>
      <c r="G249" s="18"/>
      <c r="H249" s="18"/>
      <c r="I249" s="18"/>
      <c r="J249" s="18"/>
      <c r="K249" s="177"/>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Tranparencia</v>
      </c>
      <c r="C250" s="85" t="str" cm="1">
        <f t="array" ref="C250">IFERROR(INDEX('03.Muestra'!$F$8:$F$42,SMALL(IF("Página Web"='03.Muestra'!$D$8:$D$42,ROW('03.Muestra'!$F$8:$F$42)-MIN(ROW('03.Muestra'!$D$8:$D$42))+1,""),ROW()-246)),"")</f>
        <v>https://www.comunidad.madrid/transparencia/que-es-transparencia</v>
      </c>
      <c r="D250" s="99" t="s">
        <v>103</v>
      </c>
      <c r="E250" s="79" t="str">
        <f t="shared" si="12"/>
        <v/>
      </c>
      <c r="G250" s="18"/>
      <c r="H250" s="18"/>
      <c r="I250" s="18"/>
      <c r="J250" s="18"/>
      <c r="K250" s="177"/>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Organización</v>
      </c>
      <c r="C251" s="85" t="str" cm="1">
        <f t="array" ref="C251">IFERROR(INDEX('03.Muestra'!$F$8:$F$42,SMALL(IF("Página Web"='03.Muestra'!$D$8:$D$42,ROW('03.Muestra'!$F$8:$F$42)-MIN(ROW('03.Muestra'!$D$8:$D$42))+1,""),ROW()-246)),"")</f>
        <v>https://www.comunidad.madrid/transparencia/organizacion-recursos/organizacion</v>
      </c>
      <c r="D251" s="99" t="s">
        <v>103</v>
      </c>
      <c r="E251" s="79" t="str">
        <f t="shared" si="12"/>
        <v/>
      </c>
      <c r="G251" s="18"/>
      <c r="H251" s="18"/>
      <c r="I251" s="18"/>
      <c r="J251" s="18"/>
      <c r="K251" s="177"/>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Quejas</v>
      </c>
      <c r="C252" s="85" t="str" cm="1">
        <f t="array" ref="C252">IFERROR(INDEX('03.Muestra'!$F$8:$F$42,SMALL(IF("Página Web"='03.Muestra'!$D$8:$D$42,ROW('03.Muestra'!$F$8:$F$42)-MIN(ROW('03.Muestra'!$D$8:$D$42))+1,""),ROW()-246)),"")</f>
        <v>https://www.comunidad.madrid/transparencia/quejas-y-reclamaciones</v>
      </c>
      <c r="D252" s="99" t="s">
        <v>103</v>
      </c>
      <c r="E252" s="79" t="str">
        <f t="shared" si="12"/>
        <v/>
      </c>
      <c r="G252" s="18"/>
      <c r="H252" s="18"/>
      <c r="I252" s="18"/>
      <c r="J252" s="18"/>
      <c r="K252" s="177"/>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Contratos</v>
      </c>
      <c r="C253" s="85" t="str" cm="1">
        <f t="array" ref="C253">IFERROR(INDEX('03.Muestra'!$F$8:$F$42,SMALL(IF("Página Web"='03.Muestra'!$D$8:$D$42,ROW('03.Muestra'!$F$8:$F$42)-MIN(ROW('03.Muestra'!$D$8:$D$42))+1,""),ROW()-246)),"")</f>
        <v>https://www.comunidad.madrid/transparencia/contratos</v>
      </c>
      <c r="D253" s="99" t="s">
        <v>103</v>
      </c>
      <c r="E253" s="79" t="str">
        <f t="shared" si="12"/>
        <v/>
      </c>
      <c r="F253" s="18"/>
      <c r="G253" s="18"/>
      <c r="H253" s="18"/>
      <c r="I253" s="18"/>
      <c r="J253" s="18"/>
      <c r="K253" s="177"/>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Consulta</v>
      </c>
      <c r="C254" s="85" t="str" cm="1">
        <f t="array" ref="C254">IFERROR(INDEX('03.Muestra'!$F$8:$F$42,SMALL(IF("Página Web"='03.Muestra'!$D$8:$D$42,ROW('03.Muestra'!$F$8:$F$42)-MIN(ROW('03.Muestra'!$D$8:$D$42))+1,""),ROW()-246)),"")</f>
        <v>https://www.comunidad.madrid/transparencia/normativa-planificacion/consulta-publica</v>
      </c>
      <c r="D254" s="99" t="s">
        <v>103</v>
      </c>
      <c r="E254" s="79" t="str">
        <f t="shared" si="12"/>
        <v/>
      </c>
      <c r="F254" s="18"/>
      <c r="G254" s="18"/>
      <c r="H254" s="18"/>
      <c r="I254" s="18"/>
      <c r="J254" s="18"/>
      <c r="K254" s="177"/>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Proyecto</v>
      </c>
      <c r="C255" s="85" t="str" cm="1">
        <f t="array" ref="C255">IFERROR(INDEX('03.Muestra'!$F$8:$F$42,SMALL(IF("Página Web"='03.Muestra'!$D$8:$D$42,ROW('03.Muestra'!$F$8:$F$42)-MIN(ROW('03.Muestra'!$D$8:$D$42))+1,""),ROW()-246)),"")</f>
        <v>https://www.comunidad.madrid/transparencia/proyecto-orden-que-se-crea-comision-farmacia-y-productos-sanitarios-cm-y-se-establece-su-composicion</v>
      </c>
      <c r="D255" s="99" t="s">
        <v>103</v>
      </c>
      <c r="E255" s="79" t="str">
        <f t="shared" si="12"/>
        <v/>
      </c>
      <c r="F255" s="18"/>
      <c r="G255" s="18"/>
      <c r="H255" s="18"/>
      <c r="I255" s="18"/>
      <c r="J255" s="18"/>
      <c r="K255" s="177"/>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Planes y Programas</v>
      </c>
      <c r="C256" s="85" t="str" cm="1">
        <f t="array" ref="C256">IFERROR(INDEX('03.Muestra'!$F$8:$F$42,SMALL(IF("Página Web"='03.Muestra'!$D$8:$D$42,ROW('03.Muestra'!$F$8:$F$42)-MIN(ROW('03.Muestra'!$D$8:$D$42))+1,""),ROW()-246)),"")</f>
        <v>https://www.comunidad.madrid/transparencia/normativa-planificacion/planes-programas</v>
      </c>
      <c r="D256" s="99" t="s">
        <v>103</v>
      </c>
      <c r="E256" s="79" t="str">
        <f t="shared" si="12"/>
        <v/>
      </c>
      <c r="F256" s="18"/>
      <c r="G256" s="18"/>
      <c r="H256" s="18"/>
      <c r="I256" s="18"/>
      <c r="J256" s="18"/>
      <c r="K256" s="177"/>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Estrategia</v>
      </c>
      <c r="C257" s="85" t="str" cm="1">
        <f t="array" ref="C257">IFERROR(INDEX('03.Muestra'!$F$8:$F$42,SMALL(IF("Página Web"='03.Muestra'!$D$8:$D$42,ROW('03.Muestra'!$F$8:$F$42)-MIN(ROW('03.Muestra'!$D$8:$D$42))+1,""),ROW()-246)),"")</f>
        <v>https://www.comunidad.madrid/transparencia/informacion-institucional/planes-programas/estrategia-seguridad-del-paciente-del-servicio-madrileno</v>
      </c>
      <c r="D257" s="99" t="s">
        <v>103</v>
      </c>
      <c r="E257" s="79" t="str">
        <f t="shared" si="12"/>
        <v/>
      </c>
      <c r="F257" s="18"/>
      <c r="G257" s="18"/>
      <c r="H257" s="18"/>
      <c r="I257" s="18"/>
      <c r="J257" s="18"/>
      <c r="K257" s="177"/>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Huella</v>
      </c>
      <c r="C258" s="85" t="str" cm="1">
        <f t="array" ref="C258">IFERROR(INDEX('03.Muestra'!$F$8:$F$42,SMALL(IF("Página Web"='03.Muestra'!$D$8:$D$42,ROW('03.Muestra'!$F$8:$F$42)-MIN(ROW('03.Muestra'!$D$8:$D$42))+1,""),ROW()-246)),"")</f>
        <v>https://www.comunidad.madrid/transparencia/normativa-planificacion/huella-normativa</v>
      </c>
      <c r="D258" s="99" t="s">
        <v>103</v>
      </c>
      <c r="E258" s="79" t="str">
        <f t="shared" si="12"/>
        <v/>
      </c>
      <c r="F258" s="18"/>
      <c r="G258" s="18"/>
      <c r="H258" s="18"/>
      <c r="I258" s="18"/>
      <c r="J258" s="18"/>
      <c r="K258" s="177"/>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Decreto</v>
      </c>
      <c r="C259" s="85" t="str" cm="1">
        <f t="array" ref="C259">IFERROR(INDEX('03.Muestra'!$F$8:$F$42,SMALL(IF("Página Web"='03.Muestra'!$D$8:$D$42,ROW('03.Muestra'!$F$8:$F$42)-MIN(ROW('03.Muestra'!$D$8:$D$42))+1,""),ROW()-246)),"")</f>
        <v>https://www.comunidad.madrid/transparencia/decreto-del-consejo-gobierno-que-se-establece-estructura-organica-consejeria-familia-juventud-y</v>
      </c>
      <c r="D259" s="99" t="s">
        <v>103</v>
      </c>
      <c r="E259" s="79" t="str">
        <f t="shared" si="12"/>
        <v/>
      </c>
      <c r="F259" s="18"/>
      <c r="G259" s="18"/>
      <c r="H259" s="18"/>
      <c r="I259" s="18"/>
      <c r="J259" s="18"/>
      <c r="K259" s="177"/>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Entidades Locales</v>
      </c>
      <c r="C260" s="85" t="str" cm="1">
        <f t="array" ref="C260">IFERROR(INDEX('03.Muestra'!$F$8:$F$42,SMALL(IF("Página Web"='03.Muestra'!$D$8:$D$42,ROW('03.Muestra'!$F$8:$F$42)-MIN(ROW('03.Muestra'!$D$8:$D$42))+1,""),ROW()-246)),"")</f>
        <v>https://www.comunidad.madrid/transparencia/entidades-locales</v>
      </c>
      <c r="D260" s="99" t="s">
        <v>103</v>
      </c>
      <c r="E260" s="79" t="str">
        <f t="shared" si="12"/>
        <v/>
      </c>
      <c r="F260" s="18"/>
      <c r="G260" s="18"/>
      <c r="H260" s="18"/>
      <c r="I260" s="18"/>
      <c r="J260" s="18"/>
      <c r="K260" s="177"/>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61:D281" si="13">IF(AND(B261&lt;&gt;"",C261&lt;&gt;""),"N/T","")</f>
        <v/>
      </c>
      <c r="E261" s="79" t="str">
        <f t="shared" si="12"/>
        <v/>
      </c>
      <c r="F261" s="18"/>
      <c r="G261" s="18"/>
      <c r="H261" s="18"/>
      <c r="I261" s="18"/>
      <c r="J261" s="18"/>
      <c r="K261" s="177"/>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7"/>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7"/>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7"/>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7"/>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7"/>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7"/>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7"/>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7"/>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7"/>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7"/>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7"/>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7"/>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7"/>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7"/>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7"/>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7"/>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7"/>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7"/>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7"/>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7"/>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7"/>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7"/>
      <c r="L283" s="18"/>
      <c r="M283" s="18"/>
      <c r="N283" s="18"/>
      <c r="O283" s="18"/>
      <c r="P283" s="18"/>
      <c r="Q283" s="18"/>
      <c r="R283" s="18"/>
      <c r="S283" s="18"/>
      <c r="T283" s="18"/>
      <c r="U283" s="18"/>
      <c r="V283" s="18"/>
      <c r="W283" s="18"/>
      <c r="X283" s="18"/>
      <c r="Y283" s="18"/>
    </row>
    <row r="284" spans="1:25" ht="32.25" customHeight="1">
      <c r="A284" s="172" t="s">
        <v>98</v>
      </c>
      <c r="B284" s="23" t="s">
        <v>90</v>
      </c>
      <c r="C284" s="24" t="s">
        <v>118</v>
      </c>
      <c r="D284" s="25" t="s">
        <v>100</v>
      </c>
      <c r="E284" s="93"/>
      <c r="K284" s="177"/>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https://www.comunidad.madrid/transparencia/</v>
      </c>
      <c r="D285" s="99" t="s">
        <v>103</v>
      </c>
      <c r="E285" s="79" t="str">
        <f t="shared" ref="E285:E319" si="14">IF(D285&lt;&gt;"",IF(AND(B285&lt;&gt;"",C285&lt;&gt;""),"","ERR"),"")</f>
        <v/>
      </c>
      <c r="F285" s="86" t="s">
        <v>101</v>
      </c>
      <c r="G285" s="87" t="s">
        <v>102</v>
      </c>
      <c r="H285" s="88" t="s">
        <v>103</v>
      </c>
      <c r="I285" s="89" t="s">
        <v>93</v>
      </c>
      <c r="J285" s="90" t="s">
        <v>91</v>
      </c>
      <c r="K285" s="180" t="s">
        <v>97</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Aviso legal</v>
      </c>
      <c r="C286" s="85" t="str" cm="1">
        <f t="array" ref="C286">IFERROR(INDEX('03.Muestra'!$F$8:$F$42,SMALL(IF("Página Web"='03.Muestra'!$D$8:$D$42,ROW('03.Muestra'!$F$8:$F$42)-MIN(ROW('03.Muestra'!$D$8:$D$42))+1,""),ROW()-284)),"")</f>
        <v>https://www.comunidad.madrid/transparencia/aviso-legal</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14</v>
      </c>
      <c r="I286" s="91">
        <f ca="1">COUNTIF($D285:INDIRECT("$D" &amp;  SUM(ROW()-1,'03.Muestra'!$D$45)-1),I285)</f>
        <v>0</v>
      </c>
      <c r="J286" s="91">
        <f ca="1">COUNTIF($D285:INDIRECT("$D" &amp;  SUM(ROW()-1,'03.Muestra'!$D$45)-1),J285)</f>
        <v>0</v>
      </c>
      <c r="K286" s="181">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Accesibilidad</v>
      </c>
      <c r="C287" s="85" t="str" cm="1">
        <f t="array" ref="C287">IFERROR(INDEX('03.Muestra'!$F$8:$F$42,SMALL(IF("Página Web"='03.Muestra'!$D$8:$D$42,ROW('03.Muestra'!$F$8:$F$42)-MIN(ROW('03.Muestra'!$D$8:$D$42))+1,""),ROW()-284)),"")</f>
        <v>https://www.comunidad.madrid/transparencia/declaracion-accesibilidad</v>
      </c>
      <c r="D287" s="99" t="s">
        <v>103</v>
      </c>
      <c r="E287" s="79" t="str">
        <f t="shared" si="14"/>
        <v/>
      </c>
      <c r="G287" s="18"/>
      <c r="H287" s="18"/>
      <c r="I287" s="18"/>
      <c r="J287" s="18"/>
      <c r="K287" s="177"/>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Tranparencia</v>
      </c>
      <c r="C288" s="85" t="str" cm="1">
        <f t="array" ref="C288">IFERROR(INDEX('03.Muestra'!$F$8:$F$42,SMALL(IF("Página Web"='03.Muestra'!$D$8:$D$42,ROW('03.Muestra'!$F$8:$F$42)-MIN(ROW('03.Muestra'!$D$8:$D$42))+1,""),ROW()-284)),"")</f>
        <v>https://www.comunidad.madrid/transparencia/que-es-transparencia</v>
      </c>
      <c r="D288" s="99" t="s">
        <v>103</v>
      </c>
      <c r="E288" s="79" t="str">
        <f t="shared" si="14"/>
        <v/>
      </c>
      <c r="G288" s="18"/>
      <c r="H288" s="18"/>
      <c r="I288" s="18"/>
      <c r="J288" s="18"/>
      <c r="K288" s="177"/>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Organización</v>
      </c>
      <c r="C289" s="85" t="str" cm="1">
        <f t="array" ref="C289">IFERROR(INDEX('03.Muestra'!$F$8:$F$42,SMALL(IF("Página Web"='03.Muestra'!$D$8:$D$42,ROW('03.Muestra'!$F$8:$F$42)-MIN(ROW('03.Muestra'!$D$8:$D$42))+1,""),ROW()-284)),"")</f>
        <v>https://www.comunidad.madrid/transparencia/organizacion-recursos/organizacion</v>
      </c>
      <c r="D289" s="99" t="s">
        <v>103</v>
      </c>
      <c r="E289" s="79" t="str">
        <f t="shared" si="14"/>
        <v/>
      </c>
      <c r="G289" s="18"/>
      <c r="H289" s="18"/>
      <c r="I289" s="18"/>
      <c r="J289" s="18"/>
      <c r="K289" s="177"/>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Quejas</v>
      </c>
      <c r="C290" s="85" t="str" cm="1">
        <f t="array" ref="C290">IFERROR(INDEX('03.Muestra'!$F$8:$F$42,SMALL(IF("Página Web"='03.Muestra'!$D$8:$D$42,ROW('03.Muestra'!$F$8:$F$42)-MIN(ROW('03.Muestra'!$D$8:$D$42))+1,""),ROW()-284)),"")</f>
        <v>https://www.comunidad.madrid/transparencia/quejas-y-reclamaciones</v>
      </c>
      <c r="D290" s="99" t="s">
        <v>103</v>
      </c>
      <c r="E290" s="79" t="str">
        <f t="shared" si="14"/>
        <v/>
      </c>
      <c r="G290" s="18"/>
      <c r="H290" s="18"/>
      <c r="I290" s="18"/>
      <c r="J290" s="18"/>
      <c r="K290" s="177"/>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Contratos</v>
      </c>
      <c r="C291" s="85" t="str" cm="1">
        <f t="array" ref="C291">IFERROR(INDEX('03.Muestra'!$F$8:$F$42,SMALL(IF("Página Web"='03.Muestra'!$D$8:$D$42,ROW('03.Muestra'!$F$8:$F$42)-MIN(ROW('03.Muestra'!$D$8:$D$42))+1,""),ROW()-284)),"")</f>
        <v>https://www.comunidad.madrid/transparencia/contratos</v>
      </c>
      <c r="D291" s="99" t="s">
        <v>103</v>
      </c>
      <c r="E291" s="79" t="str">
        <f t="shared" si="14"/>
        <v/>
      </c>
      <c r="F291" s="18"/>
      <c r="G291" s="18"/>
      <c r="H291" s="18"/>
      <c r="I291" s="18"/>
      <c r="J291" s="18"/>
      <c r="K291" s="177"/>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Consulta</v>
      </c>
      <c r="C292" s="85" t="str" cm="1">
        <f t="array" ref="C292">IFERROR(INDEX('03.Muestra'!$F$8:$F$42,SMALL(IF("Página Web"='03.Muestra'!$D$8:$D$42,ROW('03.Muestra'!$F$8:$F$42)-MIN(ROW('03.Muestra'!$D$8:$D$42))+1,""),ROW()-284)),"")</f>
        <v>https://www.comunidad.madrid/transparencia/normativa-planificacion/consulta-publica</v>
      </c>
      <c r="D292" s="99" t="s">
        <v>103</v>
      </c>
      <c r="E292" s="79" t="str">
        <f t="shared" si="14"/>
        <v/>
      </c>
      <c r="F292" s="18"/>
      <c r="G292" s="18"/>
      <c r="H292" s="18"/>
      <c r="I292" s="18"/>
      <c r="J292" s="18"/>
      <c r="K292" s="177"/>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Proyecto</v>
      </c>
      <c r="C293" s="85" t="str" cm="1">
        <f t="array" ref="C293">IFERROR(INDEX('03.Muestra'!$F$8:$F$42,SMALL(IF("Página Web"='03.Muestra'!$D$8:$D$42,ROW('03.Muestra'!$F$8:$F$42)-MIN(ROW('03.Muestra'!$D$8:$D$42))+1,""),ROW()-284)),"")</f>
        <v>https://www.comunidad.madrid/transparencia/proyecto-orden-que-se-crea-comision-farmacia-y-productos-sanitarios-cm-y-se-establece-su-composicion</v>
      </c>
      <c r="D293" s="99" t="s">
        <v>103</v>
      </c>
      <c r="E293" s="79" t="str">
        <f t="shared" si="14"/>
        <v/>
      </c>
      <c r="F293" s="18"/>
      <c r="G293" s="18"/>
      <c r="H293" s="18"/>
      <c r="I293" s="18"/>
      <c r="J293" s="18"/>
      <c r="K293" s="177"/>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Planes y Programas</v>
      </c>
      <c r="C294" s="85" t="str" cm="1">
        <f t="array" ref="C294">IFERROR(INDEX('03.Muestra'!$F$8:$F$42,SMALL(IF("Página Web"='03.Muestra'!$D$8:$D$42,ROW('03.Muestra'!$F$8:$F$42)-MIN(ROW('03.Muestra'!$D$8:$D$42))+1,""),ROW()-284)),"")</f>
        <v>https://www.comunidad.madrid/transparencia/normativa-planificacion/planes-programas</v>
      </c>
      <c r="D294" s="99" t="s">
        <v>103</v>
      </c>
      <c r="E294" s="79" t="str">
        <f t="shared" si="14"/>
        <v/>
      </c>
      <c r="F294" s="18"/>
      <c r="G294" s="18"/>
      <c r="H294" s="18"/>
      <c r="I294" s="18"/>
      <c r="J294" s="18"/>
      <c r="K294" s="177"/>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Estrategia</v>
      </c>
      <c r="C295" s="85" t="str" cm="1">
        <f t="array" ref="C295">IFERROR(INDEX('03.Muestra'!$F$8:$F$42,SMALL(IF("Página Web"='03.Muestra'!$D$8:$D$42,ROW('03.Muestra'!$F$8:$F$42)-MIN(ROW('03.Muestra'!$D$8:$D$42))+1,""),ROW()-284)),"")</f>
        <v>https://www.comunidad.madrid/transparencia/informacion-institucional/planes-programas/estrategia-seguridad-del-paciente-del-servicio-madrileno</v>
      </c>
      <c r="D295" s="99" t="s">
        <v>103</v>
      </c>
      <c r="E295" s="79" t="str">
        <f t="shared" si="14"/>
        <v/>
      </c>
      <c r="F295" s="18"/>
      <c r="G295" s="18"/>
      <c r="H295" s="18"/>
      <c r="I295" s="18"/>
      <c r="J295" s="18"/>
      <c r="K295" s="177"/>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Huella</v>
      </c>
      <c r="C296" s="85" t="str" cm="1">
        <f t="array" ref="C296">IFERROR(INDEX('03.Muestra'!$F$8:$F$42,SMALL(IF("Página Web"='03.Muestra'!$D$8:$D$42,ROW('03.Muestra'!$F$8:$F$42)-MIN(ROW('03.Muestra'!$D$8:$D$42))+1,""),ROW()-284)),"")</f>
        <v>https://www.comunidad.madrid/transparencia/normativa-planificacion/huella-normativa</v>
      </c>
      <c r="D296" s="99" t="s">
        <v>103</v>
      </c>
      <c r="E296" s="79" t="str">
        <f t="shared" si="14"/>
        <v/>
      </c>
      <c r="F296" s="18"/>
      <c r="G296" s="18"/>
      <c r="H296" s="18"/>
      <c r="I296" s="18"/>
      <c r="J296" s="18"/>
      <c r="K296" s="177"/>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Decreto</v>
      </c>
      <c r="C297" s="85" t="str" cm="1">
        <f t="array" ref="C297">IFERROR(INDEX('03.Muestra'!$F$8:$F$42,SMALL(IF("Página Web"='03.Muestra'!$D$8:$D$42,ROW('03.Muestra'!$F$8:$F$42)-MIN(ROW('03.Muestra'!$D$8:$D$42))+1,""),ROW()-284)),"")</f>
        <v>https://www.comunidad.madrid/transparencia/decreto-del-consejo-gobierno-que-se-establece-estructura-organica-consejeria-familia-juventud-y</v>
      </c>
      <c r="D297" s="99" t="s">
        <v>103</v>
      </c>
      <c r="E297" s="79" t="str">
        <f t="shared" si="14"/>
        <v/>
      </c>
      <c r="F297" s="18"/>
      <c r="G297" s="18"/>
      <c r="H297" s="18"/>
      <c r="I297" s="18"/>
      <c r="J297" s="18"/>
      <c r="K297" s="177"/>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Entidades Locales</v>
      </c>
      <c r="C298" s="85" t="str" cm="1">
        <f t="array" ref="C298">IFERROR(INDEX('03.Muestra'!$F$8:$F$42,SMALL(IF("Página Web"='03.Muestra'!$D$8:$D$42,ROW('03.Muestra'!$F$8:$F$42)-MIN(ROW('03.Muestra'!$D$8:$D$42))+1,""),ROW()-284)),"")</f>
        <v>https://www.comunidad.madrid/transparencia/entidades-locales</v>
      </c>
      <c r="D298" s="99" t="s">
        <v>103</v>
      </c>
      <c r="E298" s="79" t="str">
        <f t="shared" si="14"/>
        <v/>
      </c>
      <c r="F298" s="18"/>
      <c r="G298" s="18"/>
      <c r="H298" s="18"/>
      <c r="I298" s="18"/>
      <c r="J298" s="18"/>
      <c r="K298" s="177"/>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99:D319" si="15">IF(AND(B299&lt;&gt;"",C299&lt;&gt;""),"N/T","")</f>
        <v/>
      </c>
      <c r="E299" s="79" t="str">
        <f t="shared" si="14"/>
        <v/>
      </c>
      <c r="F299" s="18"/>
      <c r="G299" s="18"/>
      <c r="H299" s="18"/>
      <c r="I299" s="18"/>
      <c r="J299" s="18"/>
      <c r="K299" s="177"/>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7"/>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7"/>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7"/>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7"/>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7"/>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7"/>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7"/>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7"/>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7"/>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7"/>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7"/>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7"/>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7"/>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7"/>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7"/>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7"/>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7"/>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7"/>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7"/>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7"/>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7"/>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7"/>
      <c r="L321" s="18"/>
      <c r="M321" s="18"/>
      <c r="N321" s="18"/>
      <c r="O321" s="18"/>
      <c r="P321" s="18"/>
      <c r="Q321" s="18"/>
      <c r="R321" s="18"/>
      <c r="S321" s="18"/>
      <c r="T321" s="18"/>
      <c r="U321" s="18"/>
      <c r="V321" s="18"/>
      <c r="W321" s="18"/>
      <c r="X321" s="18"/>
      <c r="Y321" s="18"/>
    </row>
    <row r="322" spans="1:25" ht="32.25" customHeight="1">
      <c r="A322" s="172" t="s">
        <v>98</v>
      </c>
      <c r="B322" s="23" t="s">
        <v>90</v>
      </c>
      <c r="C322" s="24" t="s">
        <v>119</v>
      </c>
      <c r="D322" s="25" t="s">
        <v>100</v>
      </c>
      <c r="E322" s="93"/>
      <c r="K322" s="177"/>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https://www.comunidad.madrid/transparencia/</v>
      </c>
      <c r="D323" s="99" t="s">
        <v>103</v>
      </c>
      <c r="E323" s="79" t="str">
        <f t="shared" ref="E323:E357" si="16">IF(D323&lt;&gt;"",IF(AND(B323&lt;&gt;"",C323&lt;&gt;""),"","ERR"),"")</f>
        <v/>
      </c>
      <c r="F323" s="86" t="s">
        <v>101</v>
      </c>
      <c r="G323" s="87" t="s">
        <v>102</v>
      </c>
      <c r="H323" s="88" t="s">
        <v>103</v>
      </c>
      <c r="I323" s="89" t="s">
        <v>93</v>
      </c>
      <c r="J323" s="90" t="s">
        <v>91</v>
      </c>
      <c r="K323" s="180" t="s">
        <v>97</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Aviso legal</v>
      </c>
      <c r="C324" s="85" t="str" cm="1">
        <f t="array" ref="C324">IFERROR(INDEX('03.Muestra'!$F$8:$F$42,SMALL(IF("Página Web"='03.Muestra'!$D$8:$D$42,ROW('03.Muestra'!$F$8:$F$42)-MIN(ROW('03.Muestra'!$D$8:$D$42))+1,""),ROW()-322)),"")</f>
        <v>https://www.comunidad.madrid/transparencia/aviso-legal</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14</v>
      </c>
      <c r="I324" s="91">
        <f ca="1">COUNTIF($D323:INDIRECT("$D" &amp;  SUM(ROW()-1,'03.Muestra'!$D$45)-1),I323)</f>
        <v>0</v>
      </c>
      <c r="J324" s="91">
        <f ca="1">COUNTIF($D323:INDIRECT("$D" &amp;  SUM(ROW()-1,'03.Muestra'!$D$45)-1),J323)</f>
        <v>0</v>
      </c>
      <c r="K324" s="181">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Accesibilidad</v>
      </c>
      <c r="C325" s="85" t="str" cm="1">
        <f t="array" ref="C325">IFERROR(INDEX('03.Muestra'!$F$8:$F$42,SMALL(IF("Página Web"='03.Muestra'!$D$8:$D$42,ROW('03.Muestra'!$F$8:$F$42)-MIN(ROW('03.Muestra'!$D$8:$D$42))+1,""),ROW()-322)),"")</f>
        <v>https://www.comunidad.madrid/transparencia/declaracion-accesibilidad</v>
      </c>
      <c r="D325" s="99" t="s">
        <v>103</v>
      </c>
      <c r="E325" s="79" t="str">
        <f t="shared" si="16"/>
        <v/>
      </c>
      <c r="G325" s="18"/>
      <c r="H325" s="18"/>
      <c r="I325" s="18"/>
      <c r="J325" s="18"/>
      <c r="K325" s="177"/>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Tranparencia</v>
      </c>
      <c r="C326" s="85" t="str" cm="1">
        <f t="array" ref="C326">IFERROR(INDEX('03.Muestra'!$F$8:$F$42,SMALL(IF("Página Web"='03.Muestra'!$D$8:$D$42,ROW('03.Muestra'!$F$8:$F$42)-MIN(ROW('03.Muestra'!$D$8:$D$42))+1,""),ROW()-322)),"")</f>
        <v>https://www.comunidad.madrid/transparencia/que-es-transparencia</v>
      </c>
      <c r="D326" s="99" t="s">
        <v>103</v>
      </c>
      <c r="E326" s="79" t="str">
        <f t="shared" si="16"/>
        <v/>
      </c>
      <c r="G326" s="18"/>
      <c r="H326" s="18"/>
      <c r="I326" s="18"/>
      <c r="J326" s="18"/>
      <c r="K326" s="177"/>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Organización</v>
      </c>
      <c r="C327" s="85" t="str" cm="1">
        <f t="array" ref="C327">IFERROR(INDEX('03.Muestra'!$F$8:$F$42,SMALL(IF("Página Web"='03.Muestra'!$D$8:$D$42,ROW('03.Muestra'!$F$8:$F$42)-MIN(ROW('03.Muestra'!$D$8:$D$42))+1,""),ROW()-322)),"")</f>
        <v>https://www.comunidad.madrid/transparencia/organizacion-recursos/organizacion</v>
      </c>
      <c r="D327" s="99" t="s">
        <v>103</v>
      </c>
      <c r="E327" s="79" t="str">
        <f t="shared" si="16"/>
        <v/>
      </c>
      <c r="G327" s="18"/>
      <c r="H327" s="18"/>
      <c r="I327" s="18"/>
      <c r="J327" s="18"/>
      <c r="K327" s="177"/>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Quejas</v>
      </c>
      <c r="C328" s="85" t="str" cm="1">
        <f t="array" ref="C328">IFERROR(INDEX('03.Muestra'!$F$8:$F$42,SMALL(IF("Página Web"='03.Muestra'!$D$8:$D$42,ROW('03.Muestra'!$F$8:$F$42)-MIN(ROW('03.Muestra'!$D$8:$D$42))+1,""),ROW()-322)),"")</f>
        <v>https://www.comunidad.madrid/transparencia/quejas-y-reclamaciones</v>
      </c>
      <c r="D328" s="99" t="s">
        <v>103</v>
      </c>
      <c r="E328" s="79" t="str">
        <f t="shared" si="16"/>
        <v/>
      </c>
      <c r="G328" s="18"/>
      <c r="H328" s="18"/>
      <c r="I328" s="18"/>
      <c r="J328" s="18"/>
      <c r="K328" s="177"/>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Contratos</v>
      </c>
      <c r="C329" s="85" t="str" cm="1">
        <f t="array" ref="C329">IFERROR(INDEX('03.Muestra'!$F$8:$F$42,SMALL(IF("Página Web"='03.Muestra'!$D$8:$D$42,ROW('03.Muestra'!$F$8:$F$42)-MIN(ROW('03.Muestra'!$D$8:$D$42))+1,""),ROW()-322)),"")</f>
        <v>https://www.comunidad.madrid/transparencia/contratos</v>
      </c>
      <c r="D329" s="99" t="s">
        <v>103</v>
      </c>
      <c r="E329" s="79" t="str">
        <f t="shared" si="16"/>
        <v/>
      </c>
      <c r="F329" s="18"/>
      <c r="G329" s="18"/>
      <c r="H329" s="18"/>
      <c r="I329" s="18"/>
      <c r="J329" s="18"/>
      <c r="K329" s="177"/>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Consulta</v>
      </c>
      <c r="C330" s="85" t="str" cm="1">
        <f t="array" ref="C330">IFERROR(INDEX('03.Muestra'!$F$8:$F$42,SMALL(IF("Página Web"='03.Muestra'!$D$8:$D$42,ROW('03.Muestra'!$F$8:$F$42)-MIN(ROW('03.Muestra'!$D$8:$D$42))+1,""),ROW()-322)),"")</f>
        <v>https://www.comunidad.madrid/transparencia/normativa-planificacion/consulta-publica</v>
      </c>
      <c r="D330" s="99" t="s">
        <v>103</v>
      </c>
      <c r="E330" s="79" t="str">
        <f t="shared" si="16"/>
        <v/>
      </c>
      <c r="F330" s="18"/>
      <c r="G330" s="18"/>
      <c r="H330" s="18"/>
      <c r="I330" s="18"/>
      <c r="J330" s="18"/>
      <c r="K330" s="177"/>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Proyecto</v>
      </c>
      <c r="C331" s="85" t="str" cm="1">
        <f t="array" ref="C331">IFERROR(INDEX('03.Muestra'!$F$8:$F$42,SMALL(IF("Página Web"='03.Muestra'!$D$8:$D$42,ROW('03.Muestra'!$F$8:$F$42)-MIN(ROW('03.Muestra'!$D$8:$D$42))+1,""),ROW()-322)),"")</f>
        <v>https://www.comunidad.madrid/transparencia/proyecto-orden-que-se-crea-comision-farmacia-y-productos-sanitarios-cm-y-se-establece-su-composicion</v>
      </c>
      <c r="D331" s="99" t="s">
        <v>103</v>
      </c>
      <c r="E331" s="79" t="str">
        <f t="shared" si="16"/>
        <v/>
      </c>
      <c r="F331" s="18"/>
      <c r="G331" s="18"/>
      <c r="H331" s="18"/>
      <c r="I331" s="18"/>
      <c r="J331" s="18"/>
      <c r="K331" s="177"/>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Planes y Programas</v>
      </c>
      <c r="C332" s="85" t="str" cm="1">
        <f t="array" ref="C332">IFERROR(INDEX('03.Muestra'!$F$8:$F$42,SMALL(IF("Página Web"='03.Muestra'!$D$8:$D$42,ROW('03.Muestra'!$F$8:$F$42)-MIN(ROW('03.Muestra'!$D$8:$D$42))+1,""),ROW()-322)),"")</f>
        <v>https://www.comunidad.madrid/transparencia/normativa-planificacion/planes-programas</v>
      </c>
      <c r="D332" s="99" t="s">
        <v>103</v>
      </c>
      <c r="E332" s="79" t="str">
        <f t="shared" si="16"/>
        <v/>
      </c>
      <c r="F332" s="18"/>
      <c r="G332" s="18"/>
      <c r="H332" s="18"/>
      <c r="I332" s="18"/>
      <c r="J332" s="18"/>
      <c r="K332" s="177"/>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Estrategia</v>
      </c>
      <c r="C333" s="85" t="str" cm="1">
        <f t="array" ref="C333">IFERROR(INDEX('03.Muestra'!$F$8:$F$42,SMALL(IF("Página Web"='03.Muestra'!$D$8:$D$42,ROW('03.Muestra'!$F$8:$F$42)-MIN(ROW('03.Muestra'!$D$8:$D$42))+1,""),ROW()-322)),"")</f>
        <v>https://www.comunidad.madrid/transparencia/informacion-institucional/planes-programas/estrategia-seguridad-del-paciente-del-servicio-madrileno</v>
      </c>
      <c r="D333" s="99" t="s">
        <v>103</v>
      </c>
      <c r="E333" s="79" t="str">
        <f t="shared" si="16"/>
        <v/>
      </c>
      <c r="F333" s="18"/>
      <c r="G333" s="18"/>
      <c r="H333" s="18"/>
      <c r="I333" s="18"/>
      <c r="J333" s="18"/>
      <c r="K333" s="177"/>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Huella</v>
      </c>
      <c r="C334" s="85" t="str" cm="1">
        <f t="array" ref="C334">IFERROR(INDEX('03.Muestra'!$F$8:$F$42,SMALL(IF("Página Web"='03.Muestra'!$D$8:$D$42,ROW('03.Muestra'!$F$8:$F$42)-MIN(ROW('03.Muestra'!$D$8:$D$42))+1,""),ROW()-322)),"")</f>
        <v>https://www.comunidad.madrid/transparencia/normativa-planificacion/huella-normativa</v>
      </c>
      <c r="D334" s="99" t="s">
        <v>103</v>
      </c>
      <c r="E334" s="79" t="str">
        <f t="shared" si="16"/>
        <v/>
      </c>
      <c r="F334" s="18"/>
      <c r="G334" s="18"/>
      <c r="H334" s="18"/>
      <c r="I334" s="18"/>
      <c r="J334" s="18"/>
      <c r="K334" s="177"/>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Decreto</v>
      </c>
      <c r="C335" s="85" t="str" cm="1">
        <f t="array" ref="C335">IFERROR(INDEX('03.Muestra'!$F$8:$F$42,SMALL(IF("Página Web"='03.Muestra'!$D$8:$D$42,ROW('03.Muestra'!$F$8:$F$42)-MIN(ROW('03.Muestra'!$D$8:$D$42))+1,""),ROW()-322)),"")</f>
        <v>https://www.comunidad.madrid/transparencia/decreto-del-consejo-gobierno-que-se-establece-estructura-organica-consejeria-familia-juventud-y</v>
      </c>
      <c r="D335" s="99" t="s">
        <v>103</v>
      </c>
      <c r="E335" s="79" t="str">
        <f t="shared" si="16"/>
        <v/>
      </c>
      <c r="F335" s="18"/>
      <c r="G335" s="18"/>
      <c r="H335" s="18"/>
      <c r="I335" s="18"/>
      <c r="J335" s="18"/>
      <c r="K335" s="177"/>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Entidades Locales</v>
      </c>
      <c r="C336" s="85" t="str" cm="1">
        <f t="array" ref="C336">IFERROR(INDEX('03.Muestra'!$F$8:$F$42,SMALL(IF("Página Web"='03.Muestra'!$D$8:$D$42,ROW('03.Muestra'!$F$8:$F$42)-MIN(ROW('03.Muestra'!$D$8:$D$42))+1,""),ROW()-322)),"")</f>
        <v>https://www.comunidad.madrid/transparencia/entidades-locales</v>
      </c>
      <c r="D336" s="99" t="s">
        <v>103</v>
      </c>
      <c r="E336" s="79" t="str">
        <f t="shared" si="16"/>
        <v/>
      </c>
      <c r="F336" s="18"/>
      <c r="G336" s="18"/>
      <c r="H336" s="18"/>
      <c r="I336" s="18"/>
      <c r="J336" s="18"/>
      <c r="K336" s="177"/>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37:D357" si="17">IF(AND(B337&lt;&gt;"",C337&lt;&gt;""),"N/T","")</f>
        <v/>
      </c>
      <c r="E337" s="79" t="str">
        <f t="shared" si="16"/>
        <v/>
      </c>
      <c r="F337" s="18"/>
      <c r="G337" s="18"/>
      <c r="H337" s="18"/>
      <c r="I337" s="18"/>
      <c r="J337" s="18"/>
      <c r="K337" s="177"/>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7"/>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7"/>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7"/>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7"/>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7"/>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7"/>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7"/>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7"/>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7"/>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7"/>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7"/>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7"/>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7"/>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7"/>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7"/>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7"/>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7"/>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7"/>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7"/>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7"/>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7"/>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7"/>
      <c r="L359" s="18"/>
      <c r="M359" s="18"/>
      <c r="N359" s="18"/>
      <c r="O359" s="18"/>
      <c r="P359" s="18"/>
      <c r="Q359" s="18"/>
      <c r="R359" s="18"/>
      <c r="S359" s="18"/>
      <c r="T359" s="18"/>
      <c r="U359" s="18"/>
      <c r="V359" s="18"/>
      <c r="W359" s="18"/>
      <c r="X359" s="18"/>
      <c r="Y359" s="18"/>
    </row>
    <row r="360" spans="1:25" ht="32.25" customHeight="1">
      <c r="A360" s="172" t="s">
        <v>98</v>
      </c>
      <c r="B360" s="23" t="s">
        <v>90</v>
      </c>
      <c r="C360" s="24" t="s">
        <v>120</v>
      </c>
      <c r="D360" s="25" t="s">
        <v>100</v>
      </c>
      <c r="E360" s="93"/>
      <c r="K360" s="177"/>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https://www.comunidad.madrid/transparencia/</v>
      </c>
      <c r="D361" s="99" t="s">
        <v>103</v>
      </c>
      <c r="E361" s="79" t="str">
        <f t="shared" ref="E361:E395" si="18">IF(D361&lt;&gt;"",IF(AND(B361&lt;&gt;"",C361&lt;&gt;""),"","ERR"),"")</f>
        <v/>
      </c>
      <c r="F361" s="86" t="s">
        <v>101</v>
      </c>
      <c r="G361" s="87" t="s">
        <v>102</v>
      </c>
      <c r="H361" s="88" t="s">
        <v>103</v>
      </c>
      <c r="I361" s="89" t="s">
        <v>93</v>
      </c>
      <c r="J361" s="90" t="s">
        <v>91</v>
      </c>
      <c r="K361" s="180" t="s">
        <v>97</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Aviso legal</v>
      </c>
      <c r="C362" s="85" t="str" cm="1">
        <f t="array" ref="C362">IFERROR(INDEX('03.Muestra'!$F$8:$F$42,SMALL(IF("Página Web"='03.Muestra'!$D$8:$D$42,ROW('03.Muestra'!$F$8:$F$42)-MIN(ROW('03.Muestra'!$D$8:$D$42))+1,""),ROW()-360)),"")</f>
        <v>https://www.comunidad.madrid/transparencia/aviso-legal</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14</v>
      </c>
      <c r="I362" s="91">
        <f ca="1">COUNTIF($D361:INDIRECT("$D" &amp;  SUM(ROW()-1,'03.Muestra'!$D$45)-1),I361)</f>
        <v>0</v>
      </c>
      <c r="J362" s="91">
        <f ca="1">COUNTIF($D361:INDIRECT("$D" &amp;  SUM(ROW()-1,'03.Muestra'!$D$45)-1),J361)</f>
        <v>0</v>
      </c>
      <c r="K362" s="181">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Accesibilidad</v>
      </c>
      <c r="C363" s="85" t="str" cm="1">
        <f t="array" ref="C363">IFERROR(INDEX('03.Muestra'!$F$8:$F$42,SMALL(IF("Página Web"='03.Muestra'!$D$8:$D$42,ROW('03.Muestra'!$F$8:$F$42)-MIN(ROW('03.Muestra'!$D$8:$D$42))+1,""),ROW()-360)),"")</f>
        <v>https://www.comunidad.madrid/transparencia/declaracion-accesibilidad</v>
      </c>
      <c r="D363" s="99" t="s">
        <v>103</v>
      </c>
      <c r="E363" s="79" t="str">
        <f t="shared" si="18"/>
        <v/>
      </c>
      <c r="G363" s="18"/>
      <c r="H363" s="18"/>
      <c r="I363" s="18"/>
      <c r="J363" s="18"/>
      <c r="K363" s="177"/>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Tranparencia</v>
      </c>
      <c r="C364" s="85" t="str" cm="1">
        <f t="array" ref="C364">IFERROR(INDEX('03.Muestra'!$F$8:$F$42,SMALL(IF("Página Web"='03.Muestra'!$D$8:$D$42,ROW('03.Muestra'!$F$8:$F$42)-MIN(ROW('03.Muestra'!$D$8:$D$42))+1,""),ROW()-360)),"")</f>
        <v>https://www.comunidad.madrid/transparencia/que-es-transparencia</v>
      </c>
      <c r="D364" s="99" t="s">
        <v>103</v>
      </c>
      <c r="E364" s="79" t="str">
        <f t="shared" si="18"/>
        <v/>
      </c>
      <c r="G364" s="18"/>
      <c r="H364" s="18"/>
      <c r="I364" s="18"/>
      <c r="J364" s="18"/>
      <c r="K364" s="177"/>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Organización</v>
      </c>
      <c r="C365" s="85" t="str" cm="1">
        <f t="array" ref="C365">IFERROR(INDEX('03.Muestra'!$F$8:$F$42,SMALL(IF("Página Web"='03.Muestra'!$D$8:$D$42,ROW('03.Muestra'!$F$8:$F$42)-MIN(ROW('03.Muestra'!$D$8:$D$42))+1,""),ROW()-360)),"")</f>
        <v>https://www.comunidad.madrid/transparencia/organizacion-recursos/organizacion</v>
      </c>
      <c r="D365" s="99" t="s">
        <v>103</v>
      </c>
      <c r="E365" s="79" t="str">
        <f t="shared" si="18"/>
        <v/>
      </c>
      <c r="G365" s="18"/>
      <c r="H365" s="18"/>
      <c r="I365" s="18"/>
      <c r="J365" s="18"/>
      <c r="K365" s="177"/>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Quejas</v>
      </c>
      <c r="C366" s="85" t="str" cm="1">
        <f t="array" ref="C366">IFERROR(INDEX('03.Muestra'!$F$8:$F$42,SMALL(IF("Página Web"='03.Muestra'!$D$8:$D$42,ROW('03.Muestra'!$F$8:$F$42)-MIN(ROW('03.Muestra'!$D$8:$D$42))+1,""),ROW()-360)),"")</f>
        <v>https://www.comunidad.madrid/transparencia/quejas-y-reclamaciones</v>
      </c>
      <c r="D366" s="99" t="s">
        <v>103</v>
      </c>
      <c r="E366" s="79" t="str">
        <f t="shared" si="18"/>
        <v/>
      </c>
      <c r="G366" s="18"/>
      <c r="H366" s="18"/>
      <c r="I366" s="18"/>
      <c r="J366" s="18"/>
      <c r="K366" s="177"/>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Contratos</v>
      </c>
      <c r="C367" s="85" t="str" cm="1">
        <f t="array" ref="C367">IFERROR(INDEX('03.Muestra'!$F$8:$F$42,SMALL(IF("Página Web"='03.Muestra'!$D$8:$D$42,ROW('03.Muestra'!$F$8:$F$42)-MIN(ROW('03.Muestra'!$D$8:$D$42))+1,""),ROW()-360)),"")</f>
        <v>https://www.comunidad.madrid/transparencia/contratos</v>
      </c>
      <c r="D367" s="99" t="s">
        <v>103</v>
      </c>
      <c r="E367" s="79" t="str">
        <f t="shared" si="18"/>
        <v/>
      </c>
      <c r="F367" s="18"/>
      <c r="G367" s="18"/>
      <c r="H367" s="18"/>
      <c r="I367" s="18"/>
      <c r="J367" s="18"/>
      <c r="K367" s="177"/>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Consulta</v>
      </c>
      <c r="C368" s="85" t="str" cm="1">
        <f t="array" ref="C368">IFERROR(INDEX('03.Muestra'!$F$8:$F$42,SMALL(IF("Página Web"='03.Muestra'!$D$8:$D$42,ROW('03.Muestra'!$F$8:$F$42)-MIN(ROW('03.Muestra'!$D$8:$D$42))+1,""),ROW()-360)),"")</f>
        <v>https://www.comunidad.madrid/transparencia/normativa-planificacion/consulta-publica</v>
      </c>
      <c r="D368" s="99" t="s">
        <v>103</v>
      </c>
      <c r="E368" s="79" t="str">
        <f t="shared" si="18"/>
        <v/>
      </c>
      <c r="F368" s="18"/>
      <c r="G368" s="18"/>
      <c r="H368" s="18"/>
      <c r="I368" s="18"/>
      <c r="J368" s="18"/>
      <c r="K368" s="177"/>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Proyecto</v>
      </c>
      <c r="C369" s="85" t="str" cm="1">
        <f t="array" ref="C369">IFERROR(INDEX('03.Muestra'!$F$8:$F$42,SMALL(IF("Página Web"='03.Muestra'!$D$8:$D$42,ROW('03.Muestra'!$F$8:$F$42)-MIN(ROW('03.Muestra'!$D$8:$D$42))+1,""),ROW()-360)),"")</f>
        <v>https://www.comunidad.madrid/transparencia/proyecto-orden-que-se-crea-comision-farmacia-y-productos-sanitarios-cm-y-se-establece-su-composicion</v>
      </c>
      <c r="D369" s="99" t="s">
        <v>103</v>
      </c>
      <c r="E369" s="79" t="str">
        <f t="shared" si="18"/>
        <v/>
      </c>
      <c r="F369" s="18"/>
      <c r="G369" s="18"/>
      <c r="H369" s="18"/>
      <c r="I369" s="18"/>
      <c r="J369" s="18"/>
      <c r="K369" s="177"/>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Planes y Programas</v>
      </c>
      <c r="C370" s="85" t="str" cm="1">
        <f t="array" ref="C370">IFERROR(INDEX('03.Muestra'!$F$8:$F$42,SMALL(IF("Página Web"='03.Muestra'!$D$8:$D$42,ROW('03.Muestra'!$F$8:$F$42)-MIN(ROW('03.Muestra'!$D$8:$D$42))+1,""),ROW()-360)),"")</f>
        <v>https://www.comunidad.madrid/transparencia/normativa-planificacion/planes-programas</v>
      </c>
      <c r="D370" s="99" t="s">
        <v>103</v>
      </c>
      <c r="E370" s="79" t="str">
        <f t="shared" si="18"/>
        <v/>
      </c>
      <c r="F370" s="18"/>
      <c r="G370" s="18"/>
      <c r="H370" s="18"/>
      <c r="I370" s="18"/>
      <c r="J370" s="18"/>
      <c r="K370" s="177"/>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Estrategia</v>
      </c>
      <c r="C371" s="85" t="str" cm="1">
        <f t="array" ref="C371">IFERROR(INDEX('03.Muestra'!$F$8:$F$42,SMALL(IF("Página Web"='03.Muestra'!$D$8:$D$42,ROW('03.Muestra'!$F$8:$F$42)-MIN(ROW('03.Muestra'!$D$8:$D$42))+1,""),ROW()-360)),"")</f>
        <v>https://www.comunidad.madrid/transparencia/informacion-institucional/planes-programas/estrategia-seguridad-del-paciente-del-servicio-madrileno</v>
      </c>
      <c r="D371" s="99" t="s">
        <v>103</v>
      </c>
      <c r="E371" s="79" t="str">
        <f t="shared" si="18"/>
        <v/>
      </c>
      <c r="F371" s="18"/>
      <c r="G371" s="18"/>
      <c r="H371" s="18"/>
      <c r="I371" s="18"/>
      <c r="J371" s="18"/>
      <c r="K371" s="177"/>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Huella</v>
      </c>
      <c r="C372" s="85" t="str" cm="1">
        <f t="array" ref="C372">IFERROR(INDEX('03.Muestra'!$F$8:$F$42,SMALL(IF("Página Web"='03.Muestra'!$D$8:$D$42,ROW('03.Muestra'!$F$8:$F$42)-MIN(ROW('03.Muestra'!$D$8:$D$42))+1,""),ROW()-360)),"")</f>
        <v>https://www.comunidad.madrid/transparencia/normativa-planificacion/huella-normativa</v>
      </c>
      <c r="D372" s="99" t="s">
        <v>103</v>
      </c>
      <c r="E372" s="79" t="str">
        <f t="shared" si="18"/>
        <v/>
      </c>
      <c r="F372" s="18"/>
      <c r="G372" s="18"/>
      <c r="H372" s="18"/>
      <c r="I372" s="18"/>
      <c r="J372" s="18"/>
      <c r="K372" s="177"/>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Decreto</v>
      </c>
      <c r="C373" s="85" t="str" cm="1">
        <f t="array" ref="C373">IFERROR(INDEX('03.Muestra'!$F$8:$F$42,SMALL(IF("Página Web"='03.Muestra'!$D$8:$D$42,ROW('03.Muestra'!$F$8:$F$42)-MIN(ROW('03.Muestra'!$D$8:$D$42))+1,""),ROW()-360)),"")</f>
        <v>https://www.comunidad.madrid/transparencia/decreto-del-consejo-gobierno-que-se-establece-estructura-organica-consejeria-familia-juventud-y</v>
      </c>
      <c r="D373" s="99" t="s">
        <v>103</v>
      </c>
      <c r="E373" s="79" t="str">
        <f t="shared" si="18"/>
        <v/>
      </c>
      <c r="F373" s="18"/>
      <c r="G373" s="18"/>
      <c r="H373" s="18"/>
      <c r="I373" s="18"/>
      <c r="J373" s="18"/>
      <c r="K373" s="177"/>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Entidades Locales</v>
      </c>
      <c r="C374" s="85" t="str" cm="1">
        <f t="array" ref="C374">IFERROR(INDEX('03.Muestra'!$F$8:$F$42,SMALL(IF("Página Web"='03.Muestra'!$D$8:$D$42,ROW('03.Muestra'!$F$8:$F$42)-MIN(ROW('03.Muestra'!$D$8:$D$42))+1,""),ROW()-360)),"")</f>
        <v>https://www.comunidad.madrid/transparencia/entidades-locales</v>
      </c>
      <c r="D374" s="99" t="s">
        <v>103</v>
      </c>
      <c r="E374" s="79" t="str">
        <f t="shared" si="18"/>
        <v/>
      </c>
      <c r="F374" s="18"/>
      <c r="G374" s="18"/>
      <c r="H374" s="18"/>
      <c r="I374" s="18"/>
      <c r="J374" s="18"/>
      <c r="K374" s="177"/>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ref="D375:D395" si="19">IF(AND(B375&lt;&gt;"",C375&lt;&gt;""),"N/T","")</f>
        <v/>
      </c>
      <c r="E375" s="79" t="str">
        <f t="shared" si="18"/>
        <v/>
      </c>
      <c r="F375" s="18"/>
      <c r="G375" s="18"/>
      <c r="H375" s="18"/>
      <c r="I375" s="18"/>
      <c r="J375" s="18"/>
      <c r="K375" s="177"/>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7"/>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7"/>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7"/>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7"/>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7"/>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7"/>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7"/>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7"/>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7"/>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7"/>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7"/>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7"/>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7"/>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7"/>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7"/>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7"/>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7"/>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7"/>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7"/>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7"/>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7"/>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7"/>
      <c r="L397" s="18"/>
      <c r="M397" s="18"/>
      <c r="N397" s="18"/>
      <c r="O397" s="18"/>
      <c r="P397" s="18"/>
      <c r="Q397" s="18"/>
      <c r="R397" s="18"/>
      <c r="S397" s="18"/>
      <c r="T397" s="18"/>
      <c r="U397" s="18"/>
      <c r="V397" s="18"/>
      <c r="W397" s="18"/>
      <c r="X397" s="18"/>
      <c r="Y397" s="18"/>
    </row>
    <row r="398" spans="1:25" ht="32.25" customHeight="1">
      <c r="A398" s="172" t="s">
        <v>98</v>
      </c>
      <c r="B398" s="23" t="s">
        <v>90</v>
      </c>
      <c r="C398" s="24" t="s">
        <v>121</v>
      </c>
      <c r="D398" s="25" t="s">
        <v>100</v>
      </c>
      <c r="E398" s="93"/>
      <c r="K398" s="177"/>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https://www.comunidad.madrid/transparencia/</v>
      </c>
      <c r="D399" s="99" t="s">
        <v>103</v>
      </c>
      <c r="E399" s="79" t="str">
        <f t="shared" ref="E399:E433" si="20">IF(D399&lt;&gt;"",IF(AND(B399&lt;&gt;"",C399&lt;&gt;""),"","ERR"),"")</f>
        <v/>
      </c>
      <c r="F399" s="86" t="s">
        <v>101</v>
      </c>
      <c r="G399" s="87" t="s">
        <v>102</v>
      </c>
      <c r="H399" s="88" t="s">
        <v>103</v>
      </c>
      <c r="I399" s="89" t="s">
        <v>93</v>
      </c>
      <c r="J399" s="90" t="s">
        <v>91</v>
      </c>
      <c r="K399" s="180" t="s">
        <v>97</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Aviso legal</v>
      </c>
      <c r="C400" s="85" t="str" cm="1">
        <f t="array" ref="C400">IFERROR(INDEX('03.Muestra'!$F$8:$F$42,SMALL(IF("Página Web"='03.Muestra'!$D$8:$D$42,ROW('03.Muestra'!$F$8:$F$42)-MIN(ROW('03.Muestra'!$D$8:$D$42))+1,""),ROW()-398)),"")</f>
        <v>https://www.comunidad.madrid/transparencia/aviso-legal</v>
      </c>
      <c r="D400" s="99" t="s">
        <v>103</v>
      </c>
      <c r="E400" s="79" t="str">
        <f t="shared" si="20"/>
        <v/>
      </c>
      <c r="F400" s="91">
        <f ca="1">COUNTIF($D399:INDIRECT("$D" &amp;  SUM(ROW()-1,'03.Muestra'!$D$45)-1),F399)</f>
        <v>0</v>
      </c>
      <c r="G400" s="91">
        <f ca="1">COUNTIF($D399:INDIRECT("$D" &amp;  SUM(ROW()-1,'03.Muestra'!$D$45)-1),G399)</f>
        <v>0</v>
      </c>
      <c r="H400" s="91">
        <f ca="1">COUNTIF($D399:INDIRECT("$D" &amp;  SUM(ROW()-1,'03.Muestra'!$D$45)-1),H399)</f>
        <v>14</v>
      </c>
      <c r="I400" s="91">
        <f ca="1">COUNTIF($D399:INDIRECT("$D" &amp;  SUM(ROW()-1,'03.Muestra'!$D$45)-1),I399)</f>
        <v>0</v>
      </c>
      <c r="J400" s="91">
        <f ca="1">COUNTIF($D399:INDIRECT("$D" &amp;  SUM(ROW()-1,'03.Muestra'!$D$45)-1),J399)</f>
        <v>0</v>
      </c>
      <c r="K400" s="181">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Accesibilidad</v>
      </c>
      <c r="C401" s="85" t="str" cm="1">
        <f t="array" ref="C401">IFERROR(INDEX('03.Muestra'!$F$8:$F$42,SMALL(IF("Página Web"='03.Muestra'!$D$8:$D$42,ROW('03.Muestra'!$F$8:$F$42)-MIN(ROW('03.Muestra'!$D$8:$D$42))+1,""),ROW()-398)),"")</f>
        <v>https://www.comunidad.madrid/transparencia/declaracion-accesibilidad</v>
      </c>
      <c r="D401" s="99" t="s">
        <v>103</v>
      </c>
      <c r="E401" s="79" t="str">
        <f t="shared" si="20"/>
        <v/>
      </c>
      <c r="G401" s="18"/>
      <c r="H401" s="18"/>
      <c r="I401" s="18"/>
      <c r="J401" s="18"/>
      <c r="K401" s="177"/>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Tranparencia</v>
      </c>
      <c r="C402" s="85" t="str" cm="1">
        <f t="array" ref="C402">IFERROR(INDEX('03.Muestra'!$F$8:$F$42,SMALL(IF("Página Web"='03.Muestra'!$D$8:$D$42,ROW('03.Muestra'!$F$8:$F$42)-MIN(ROW('03.Muestra'!$D$8:$D$42))+1,""),ROW()-398)),"")</f>
        <v>https://www.comunidad.madrid/transparencia/que-es-transparencia</v>
      </c>
      <c r="D402" s="99" t="s">
        <v>103</v>
      </c>
      <c r="E402" s="79" t="str">
        <f t="shared" si="20"/>
        <v/>
      </c>
      <c r="G402" s="18"/>
      <c r="H402" s="18"/>
      <c r="I402" s="18"/>
      <c r="J402" s="18"/>
      <c r="K402" s="177"/>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Organización</v>
      </c>
      <c r="C403" s="85" t="str" cm="1">
        <f t="array" ref="C403">IFERROR(INDEX('03.Muestra'!$F$8:$F$42,SMALL(IF("Página Web"='03.Muestra'!$D$8:$D$42,ROW('03.Muestra'!$F$8:$F$42)-MIN(ROW('03.Muestra'!$D$8:$D$42))+1,""),ROW()-398)),"")</f>
        <v>https://www.comunidad.madrid/transparencia/organizacion-recursos/organizacion</v>
      </c>
      <c r="D403" s="99" t="s">
        <v>103</v>
      </c>
      <c r="E403" s="79" t="str">
        <f t="shared" si="20"/>
        <v/>
      </c>
      <c r="G403" s="18"/>
      <c r="H403" s="18"/>
      <c r="I403" s="18"/>
      <c r="J403" s="18"/>
      <c r="K403" s="177"/>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Quejas</v>
      </c>
      <c r="C404" s="85" t="str" cm="1">
        <f t="array" ref="C404">IFERROR(INDEX('03.Muestra'!$F$8:$F$42,SMALL(IF("Página Web"='03.Muestra'!$D$8:$D$42,ROW('03.Muestra'!$F$8:$F$42)-MIN(ROW('03.Muestra'!$D$8:$D$42))+1,""),ROW()-398)),"")</f>
        <v>https://www.comunidad.madrid/transparencia/quejas-y-reclamaciones</v>
      </c>
      <c r="D404" s="99" t="s">
        <v>103</v>
      </c>
      <c r="E404" s="79" t="str">
        <f t="shared" si="20"/>
        <v/>
      </c>
      <c r="G404" s="18"/>
      <c r="H404" s="18"/>
      <c r="I404" s="18"/>
      <c r="J404" s="18"/>
      <c r="K404" s="177"/>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Contratos</v>
      </c>
      <c r="C405" s="85" t="str" cm="1">
        <f t="array" ref="C405">IFERROR(INDEX('03.Muestra'!$F$8:$F$42,SMALL(IF("Página Web"='03.Muestra'!$D$8:$D$42,ROW('03.Muestra'!$F$8:$F$42)-MIN(ROW('03.Muestra'!$D$8:$D$42))+1,""),ROW()-398)),"")</f>
        <v>https://www.comunidad.madrid/transparencia/contratos</v>
      </c>
      <c r="D405" s="99" t="s">
        <v>103</v>
      </c>
      <c r="E405" s="79" t="str">
        <f t="shared" si="20"/>
        <v/>
      </c>
      <c r="F405" s="18"/>
      <c r="G405" s="18"/>
      <c r="H405" s="18"/>
      <c r="I405" s="18"/>
      <c r="J405" s="18"/>
      <c r="K405" s="177"/>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Consulta</v>
      </c>
      <c r="C406" s="85" t="str" cm="1">
        <f t="array" ref="C406">IFERROR(INDEX('03.Muestra'!$F$8:$F$42,SMALL(IF("Página Web"='03.Muestra'!$D$8:$D$42,ROW('03.Muestra'!$F$8:$F$42)-MIN(ROW('03.Muestra'!$D$8:$D$42))+1,""),ROW()-398)),"")</f>
        <v>https://www.comunidad.madrid/transparencia/normativa-planificacion/consulta-publica</v>
      </c>
      <c r="D406" s="99" t="s">
        <v>103</v>
      </c>
      <c r="E406" s="79" t="str">
        <f t="shared" si="20"/>
        <v/>
      </c>
      <c r="F406" s="18"/>
      <c r="G406" s="18"/>
      <c r="H406" s="18"/>
      <c r="I406" s="18"/>
      <c r="J406" s="18"/>
      <c r="K406" s="177"/>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Proyecto</v>
      </c>
      <c r="C407" s="85" t="str" cm="1">
        <f t="array" ref="C407">IFERROR(INDEX('03.Muestra'!$F$8:$F$42,SMALL(IF("Página Web"='03.Muestra'!$D$8:$D$42,ROW('03.Muestra'!$F$8:$F$42)-MIN(ROW('03.Muestra'!$D$8:$D$42))+1,""),ROW()-398)),"")</f>
        <v>https://www.comunidad.madrid/transparencia/proyecto-orden-que-se-crea-comision-farmacia-y-productos-sanitarios-cm-y-se-establece-su-composicion</v>
      </c>
      <c r="D407" s="99" t="s">
        <v>103</v>
      </c>
      <c r="E407" s="79" t="str">
        <f t="shared" si="20"/>
        <v/>
      </c>
      <c r="F407" s="18"/>
      <c r="G407" s="18"/>
      <c r="H407" s="18"/>
      <c r="I407" s="18"/>
      <c r="J407" s="18"/>
      <c r="K407" s="177"/>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Planes y Programas</v>
      </c>
      <c r="C408" s="85" t="str" cm="1">
        <f t="array" ref="C408">IFERROR(INDEX('03.Muestra'!$F$8:$F$42,SMALL(IF("Página Web"='03.Muestra'!$D$8:$D$42,ROW('03.Muestra'!$F$8:$F$42)-MIN(ROW('03.Muestra'!$D$8:$D$42))+1,""),ROW()-398)),"")</f>
        <v>https://www.comunidad.madrid/transparencia/normativa-planificacion/planes-programas</v>
      </c>
      <c r="D408" s="99" t="s">
        <v>103</v>
      </c>
      <c r="E408" s="79" t="str">
        <f t="shared" si="20"/>
        <v/>
      </c>
      <c r="F408" s="18"/>
      <c r="G408" s="18"/>
      <c r="H408" s="18"/>
      <c r="I408" s="18"/>
      <c r="J408" s="18"/>
      <c r="K408" s="177"/>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Estrategia</v>
      </c>
      <c r="C409" s="85" t="str" cm="1">
        <f t="array" ref="C409">IFERROR(INDEX('03.Muestra'!$F$8:$F$42,SMALL(IF("Página Web"='03.Muestra'!$D$8:$D$42,ROW('03.Muestra'!$F$8:$F$42)-MIN(ROW('03.Muestra'!$D$8:$D$42))+1,""),ROW()-398)),"")</f>
        <v>https://www.comunidad.madrid/transparencia/informacion-institucional/planes-programas/estrategia-seguridad-del-paciente-del-servicio-madrileno</v>
      </c>
      <c r="D409" s="99" t="s">
        <v>103</v>
      </c>
      <c r="E409" s="79" t="str">
        <f t="shared" si="20"/>
        <v/>
      </c>
      <c r="F409" s="18"/>
      <c r="G409" s="18"/>
      <c r="H409" s="18"/>
      <c r="I409" s="18"/>
      <c r="J409" s="18"/>
      <c r="K409" s="177"/>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Huella</v>
      </c>
      <c r="C410" s="85" t="str" cm="1">
        <f t="array" ref="C410">IFERROR(INDEX('03.Muestra'!$F$8:$F$42,SMALL(IF("Página Web"='03.Muestra'!$D$8:$D$42,ROW('03.Muestra'!$F$8:$F$42)-MIN(ROW('03.Muestra'!$D$8:$D$42))+1,""),ROW()-398)),"")</f>
        <v>https://www.comunidad.madrid/transparencia/normativa-planificacion/huella-normativa</v>
      </c>
      <c r="D410" s="99" t="s">
        <v>103</v>
      </c>
      <c r="E410" s="79" t="str">
        <f t="shared" si="20"/>
        <v/>
      </c>
      <c r="F410" s="18"/>
      <c r="G410" s="18"/>
      <c r="H410" s="18"/>
      <c r="I410" s="18"/>
      <c r="J410" s="18"/>
      <c r="K410" s="177"/>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Decreto</v>
      </c>
      <c r="C411" s="85" t="str" cm="1">
        <f t="array" ref="C411">IFERROR(INDEX('03.Muestra'!$F$8:$F$42,SMALL(IF("Página Web"='03.Muestra'!$D$8:$D$42,ROW('03.Muestra'!$F$8:$F$42)-MIN(ROW('03.Muestra'!$D$8:$D$42))+1,""),ROW()-398)),"")</f>
        <v>https://www.comunidad.madrid/transparencia/decreto-del-consejo-gobierno-que-se-establece-estructura-organica-consejeria-familia-juventud-y</v>
      </c>
      <c r="D411" s="99" t="s">
        <v>103</v>
      </c>
      <c r="E411" s="79" t="str">
        <f t="shared" si="20"/>
        <v/>
      </c>
      <c r="F411" s="18"/>
      <c r="G411" s="18"/>
      <c r="H411" s="18"/>
      <c r="I411" s="18"/>
      <c r="J411" s="18"/>
      <c r="K411" s="177"/>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Entidades Locales</v>
      </c>
      <c r="C412" s="85" t="str" cm="1">
        <f t="array" ref="C412">IFERROR(INDEX('03.Muestra'!$F$8:$F$42,SMALL(IF("Página Web"='03.Muestra'!$D$8:$D$42,ROW('03.Muestra'!$F$8:$F$42)-MIN(ROW('03.Muestra'!$D$8:$D$42))+1,""),ROW()-398)),"")</f>
        <v>https://www.comunidad.madrid/transparencia/entidades-locales</v>
      </c>
      <c r="D412" s="99" t="s">
        <v>103</v>
      </c>
      <c r="E412" s="79" t="str">
        <f t="shared" si="20"/>
        <v/>
      </c>
      <c r="F412" s="18"/>
      <c r="G412" s="18"/>
      <c r="H412" s="18"/>
      <c r="I412" s="18"/>
      <c r="J412" s="18"/>
      <c r="K412" s="177"/>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ref="D413:D433" si="21">IF(AND(B413&lt;&gt;"",C413&lt;&gt;""),"N/T","")</f>
        <v/>
      </c>
      <c r="E413" s="79" t="str">
        <f t="shared" si="20"/>
        <v/>
      </c>
      <c r="F413" s="18"/>
      <c r="G413" s="18"/>
      <c r="H413" s="18"/>
      <c r="I413" s="18"/>
      <c r="J413" s="18"/>
      <c r="K413" s="177"/>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7"/>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7"/>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7"/>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7"/>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7"/>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7"/>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7"/>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7"/>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7"/>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7"/>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7"/>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7"/>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7"/>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7"/>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7"/>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7"/>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7"/>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7"/>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7"/>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7"/>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7"/>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7"/>
      <c r="L435" s="18"/>
      <c r="M435" s="18"/>
      <c r="N435" s="18"/>
      <c r="O435" s="18"/>
      <c r="P435" s="18"/>
      <c r="Q435" s="18"/>
      <c r="R435" s="18"/>
      <c r="S435" s="18"/>
      <c r="T435" s="18"/>
      <c r="U435" s="18"/>
      <c r="V435" s="18"/>
      <c r="W435" s="18"/>
      <c r="X435" s="18"/>
      <c r="Y435" s="18"/>
    </row>
    <row r="436" spans="1:25" ht="32.25" customHeight="1">
      <c r="A436" s="172" t="s">
        <v>98</v>
      </c>
      <c r="B436" s="23" t="s">
        <v>90</v>
      </c>
      <c r="C436" s="24" t="s">
        <v>122</v>
      </c>
      <c r="D436" s="25" t="s">
        <v>100</v>
      </c>
      <c r="E436" s="93"/>
      <c r="K436" s="177"/>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https://www.comunidad.madrid/transparencia/</v>
      </c>
      <c r="D437" s="99" t="s">
        <v>103</v>
      </c>
      <c r="E437" s="79" t="str">
        <f t="shared" ref="E437:E471" si="22">IF(D437&lt;&gt;"",IF(AND(B437&lt;&gt;"",C437&lt;&gt;""),"","ERR"),"")</f>
        <v/>
      </c>
      <c r="F437" s="86" t="s">
        <v>101</v>
      </c>
      <c r="G437" s="87" t="s">
        <v>102</v>
      </c>
      <c r="H437" s="88" t="s">
        <v>103</v>
      </c>
      <c r="I437" s="89" t="s">
        <v>93</v>
      </c>
      <c r="J437" s="90" t="s">
        <v>91</v>
      </c>
      <c r="K437" s="180"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Aviso legal</v>
      </c>
      <c r="C438" s="85" t="str" cm="1">
        <f t="array" ref="C438">IFERROR(INDEX('03.Muestra'!$F$8:$F$42,SMALL(IF("Página Web"='03.Muestra'!$D$8:$D$42,ROW('03.Muestra'!$F$8:$F$42)-MIN(ROW('03.Muestra'!$D$8:$D$42))+1,""),ROW()-436)),"")</f>
        <v>https://www.comunidad.madrid/transparencia/aviso-legal</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14</v>
      </c>
      <c r="I438" s="91">
        <f ca="1">COUNTIF($D437:INDIRECT("$D" &amp;  SUM(ROW()-1,'03.Muestra'!$D$45)-1),I437)</f>
        <v>0</v>
      </c>
      <c r="J438" s="91">
        <f ca="1">COUNTIF($D437:INDIRECT("$D" &amp;  SUM(ROW()-1,'03.Muestra'!$D$45)-1),J437)</f>
        <v>0</v>
      </c>
      <c r="K438" s="181">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Accesibilidad</v>
      </c>
      <c r="C439" s="85" t="str" cm="1">
        <f t="array" ref="C439">IFERROR(INDEX('03.Muestra'!$F$8:$F$42,SMALL(IF("Página Web"='03.Muestra'!$D$8:$D$42,ROW('03.Muestra'!$F$8:$F$42)-MIN(ROW('03.Muestra'!$D$8:$D$42))+1,""),ROW()-436)),"")</f>
        <v>https://www.comunidad.madrid/transparencia/declaracion-accesibilidad</v>
      </c>
      <c r="D439" s="99" t="s">
        <v>103</v>
      </c>
      <c r="E439" s="79" t="str">
        <f t="shared" si="22"/>
        <v/>
      </c>
      <c r="G439" s="18"/>
      <c r="H439" s="18"/>
      <c r="I439" s="18"/>
      <c r="J439" s="18"/>
      <c r="K439" s="177"/>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Tranparencia</v>
      </c>
      <c r="C440" s="85" t="str" cm="1">
        <f t="array" ref="C440">IFERROR(INDEX('03.Muestra'!$F$8:$F$42,SMALL(IF("Página Web"='03.Muestra'!$D$8:$D$42,ROW('03.Muestra'!$F$8:$F$42)-MIN(ROW('03.Muestra'!$D$8:$D$42))+1,""),ROW()-436)),"")</f>
        <v>https://www.comunidad.madrid/transparencia/que-es-transparencia</v>
      </c>
      <c r="D440" s="99" t="s">
        <v>103</v>
      </c>
      <c r="E440" s="79" t="str">
        <f t="shared" si="22"/>
        <v/>
      </c>
      <c r="G440" s="18"/>
      <c r="H440" s="18"/>
      <c r="I440" s="18"/>
      <c r="J440" s="18"/>
      <c r="K440" s="177"/>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Organización</v>
      </c>
      <c r="C441" s="85" t="str" cm="1">
        <f t="array" ref="C441">IFERROR(INDEX('03.Muestra'!$F$8:$F$42,SMALL(IF("Página Web"='03.Muestra'!$D$8:$D$42,ROW('03.Muestra'!$F$8:$F$42)-MIN(ROW('03.Muestra'!$D$8:$D$42))+1,""),ROW()-436)),"")</f>
        <v>https://www.comunidad.madrid/transparencia/organizacion-recursos/organizacion</v>
      </c>
      <c r="D441" s="99" t="s">
        <v>103</v>
      </c>
      <c r="E441" s="79" t="str">
        <f t="shared" si="22"/>
        <v/>
      </c>
      <c r="G441" s="18"/>
      <c r="H441" s="18"/>
      <c r="I441" s="18"/>
      <c r="J441" s="18"/>
      <c r="K441" s="177"/>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Quejas</v>
      </c>
      <c r="C442" s="85" t="str" cm="1">
        <f t="array" ref="C442">IFERROR(INDEX('03.Muestra'!$F$8:$F$42,SMALL(IF("Página Web"='03.Muestra'!$D$8:$D$42,ROW('03.Muestra'!$F$8:$F$42)-MIN(ROW('03.Muestra'!$D$8:$D$42))+1,""),ROW()-436)),"")</f>
        <v>https://www.comunidad.madrid/transparencia/quejas-y-reclamaciones</v>
      </c>
      <c r="D442" s="99" t="s">
        <v>103</v>
      </c>
      <c r="E442" s="79" t="str">
        <f t="shared" si="22"/>
        <v/>
      </c>
      <c r="G442" s="18"/>
      <c r="H442" s="18"/>
      <c r="I442" s="18"/>
      <c r="J442" s="18"/>
      <c r="K442" s="177"/>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Contratos</v>
      </c>
      <c r="C443" s="85" t="str" cm="1">
        <f t="array" ref="C443">IFERROR(INDEX('03.Muestra'!$F$8:$F$42,SMALL(IF("Página Web"='03.Muestra'!$D$8:$D$42,ROW('03.Muestra'!$F$8:$F$42)-MIN(ROW('03.Muestra'!$D$8:$D$42))+1,""),ROW()-436)),"")</f>
        <v>https://www.comunidad.madrid/transparencia/contratos</v>
      </c>
      <c r="D443" s="99" t="s">
        <v>103</v>
      </c>
      <c r="E443" s="79" t="str">
        <f t="shared" si="22"/>
        <v/>
      </c>
      <c r="F443" s="18"/>
      <c r="G443" s="18"/>
      <c r="H443" s="18"/>
      <c r="I443" s="18"/>
      <c r="J443" s="18"/>
      <c r="K443" s="177"/>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Consulta</v>
      </c>
      <c r="C444" s="85" t="str" cm="1">
        <f t="array" ref="C444">IFERROR(INDEX('03.Muestra'!$F$8:$F$42,SMALL(IF("Página Web"='03.Muestra'!$D$8:$D$42,ROW('03.Muestra'!$F$8:$F$42)-MIN(ROW('03.Muestra'!$D$8:$D$42))+1,""),ROW()-436)),"")</f>
        <v>https://www.comunidad.madrid/transparencia/normativa-planificacion/consulta-publica</v>
      </c>
      <c r="D444" s="99" t="s">
        <v>103</v>
      </c>
      <c r="E444" s="79" t="str">
        <f t="shared" si="22"/>
        <v/>
      </c>
      <c r="F444" s="18"/>
      <c r="G444" s="18"/>
      <c r="H444" s="18"/>
      <c r="I444" s="18"/>
      <c r="J444" s="18"/>
      <c r="K444" s="177"/>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Proyecto</v>
      </c>
      <c r="C445" s="85" t="str" cm="1">
        <f t="array" ref="C445">IFERROR(INDEX('03.Muestra'!$F$8:$F$42,SMALL(IF("Página Web"='03.Muestra'!$D$8:$D$42,ROW('03.Muestra'!$F$8:$F$42)-MIN(ROW('03.Muestra'!$D$8:$D$42))+1,""),ROW()-436)),"")</f>
        <v>https://www.comunidad.madrid/transparencia/proyecto-orden-que-se-crea-comision-farmacia-y-productos-sanitarios-cm-y-se-establece-su-composicion</v>
      </c>
      <c r="D445" s="99" t="s">
        <v>103</v>
      </c>
      <c r="E445" s="79" t="str">
        <f t="shared" si="22"/>
        <v/>
      </c>
      <c r="F445" s="18"/>
      <c r="G445" s="18"/>
      <c r="H445" s="18"/>
      <c r="I445" s="18"/>
      <c r="J445" s="18"/>
      <c r="K445" s="177"/>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Planes y Programas</v>
      </c>
      <c r="C446" s="85" t="str" cm="1">
        <f t="array" ref="C446">IFERROR(INDEX('03.Muestra'!$F$8:$F$42,SMALL(IF("Página Web"='03.Muestra'!$D$8:$D$42,ROW('03.Muestra'!$F$8:$F$42)-MIN(ROW('03.Muestra'!$D$8:$D$42))+1,""),ROW()-436)),"")</f>
        <v>https://www.comunidad.madrid/transparencia/normativa-planificacion/planes-programas</v>
      </c>
      <c r="D446" s="99" t="s">
        <v>103</v>
      </c>
      <c r="E446" s="79" t="str">
        <f t="shared" si="22"/>
        <v/>
      </c>
      <c r="F446" s="18"/>
      <c r="G446" s="18"/>
      <c r="H446" s="18"/>
      <c r="I446" s="18"/>
      <c r="J446" s="18"/>
      <c r="K446" s="177"/>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Estrategia</v>
      </c>
      <c r="C447" s="85" t="str" cm="1">
        <f t="array" ref="C447">IFERROR(INDEX('03.Muestra'!$F$8:$F$42,SMALL(IF("Página Web"='03.Muestra'!$D$8:$D$42,ROW('03.Muestra'!$F$8:$F$42)-MIN(ROW('03.Muestra'!$D$8:$D$42))+1,""),ROW()-436)),"")</f>
        <v>https://www.comunidad.madrid/transparencia/informacion-institucional/planes-programas/estrategia-seguridad-del-paciente-del-servicio-madrileno</v>
      </c>
      <c r="D447" s="99" t="s">
        <v>103</v>
      </c>
      <c r="E447" s="79" t="str">
        <f t="shared" si="22"/>
        <v/>
      </c>
      <c r="F447" s="18"/>
      <c r="G447" s="18"/>
      <c r="H447" s="18"/>
      <c r="I447" s="18"/>
      <c r="J447" s="18"/>
      <c r="K447" s="177"/>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Huella</v>
      </c>
      <c r="C448" s="85" t="str" cm="1">
        <f t="array" ref="C448">IFERROR(INDEX('03.Muestra'!$F$8:$F$42,SMALL(IF("Página Web"='03.Muestra'!$D$8:$D$42,ROW('03.Muestra'!$F$8:$F$42)-MIN(ROW('03.Muestra'!$D$8:$D$42))+1,""),ROW()-436)),"")</f>
        <v>https://www.comunidad.madrid/transparencia/normativa-planificacion/huella-normativa</v>
      </c>
      <c r="D448" s="99" t="s">
        <v>103</v>
      </c>
      <c r="E448" s="79" t="str">
        <f t="shared" si="22"/>
        <v/>
      </c>
      <c r="F448" s="18"/>
      <c r="G448" s="18"/>
      <c r="H448" s="18"/>
      <c r="I448" s="18"/>
      <c r="J448" s="18"/>
      <c r="K448" s="177"/>
      <c r="L448" s="18"/>
      <c r="M448" s="18"/>
      <c r="N448" s="18"/>
      <c r="O448" s="18"/>
      <c r="P448" s="18"/>
      <c r="Q448" s="18"/>
      <c r="R448" s="18"/>
      <c r="S448" s="18"/>
      <c r="T448" s="18"/>
      <c r="U448" s="18"/>
      <c r="V448" s="18"/>
      <c r="W448" s="18"/>
      <c r="X448" s="18"/>
      <c r="Y448" s="18"/>
    </row>
    <row r="449" spans="1:25" ht="14.15"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Decreto</v>
      </c>
      <c r="C449" s="85" t="str" cm="1">
        <f t="array" ref="C449">IFERROR(INDEX('03.Muestra'!$F$8:$F$42,SMALL(IF("Página Web"='03.Muestra'!$D$8:$D$42,ROW('03.Muestra'!$F$8:$F$42)-MIN(ROW('03.Muestra'!$D$8:$D$42))+1,""),ROW()-436)),"")</f>
        <v>https://www.comunidad.madrid/transparencia/decreto-del-consejo-gobierno-que-se-establece-estructura-organica-consejeria-familia-juventud-y</v>
      </c>
      <c r="D449" s="99" t="s">
        <v>103</v>
      </c>
      <c r="E449" s="79" t="str">
        <f t="shared" si="22"/>
        <v/>
      </c>
      <c r="F449" s="18"/>
      <c r="G449" s="18"/>
      <c r="H449" s="18"/>
      <c r="I449" s="18"/>
      <c r="J449" s="18"/>
      <c r="K449" s="177"/>
      <c r="L449" s="18"/>
      <c r="M449" s="18"/>
      <c r="N449" s="18"/>
      <c r="O449" s="18"/>
      <c r="P449" s="18"/>
      <c r="Q449" s="18"/>
      <c r="R449" s="18"/>
      <c r="S449" s="18"/>
      <c r="T449" s="18"/>
      <c r="U449" s="18"/>
      <c r="V449" s="18"/>
      <c r="W449" s="18"/>
      <c r="X449" s="18"/>
      <c r="Y449" s="18"/>
    </row>
    <row r="450" spans="1:25" ht="14.15"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Entidades Locales</v>
      </c>
      <c r="C450" s="85" t="str" cm="1">
        <f t="array" ref="C450">IFERROR(INDEX('03.Muestra'!$F$8:$F$42,SMALL(IF("Página Web"='03.Muestra'!$D$8:$D$42,ROW('03.Muestra'!$F$8:$F$42)-MIN(ROW('03.Muestra'!$D$8:$D$42))+1,""),ROW()-436)),"")</f>
        <v>https://www.comunidad.madrid/transparencia/entidades-locales</v>
      </c>
      <c r="D450" s="99" t="s">
        <v>103</v>
      </c>
      <c r="E450" s="79" t="str">
        <f t="shared" si="22"/>
        <v/>
      </c>
      <c r="F450" s="18"/>
      <c r="G450" s="18"/>
      <c r="H450" s="18"/>
      <c r="I450" s="18"/>
      <c r="J450" s="18"/>
      <c r="K450" s="177"/>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ref="D451:D471" si="23">IF(AND(B451&lt;&gt;"",C451&lt;&gt;""),"N/T","")</f>
        <v/>
      </c>
      <c r="E451" s="79" t="str">
        <f t="shared" si="22"/>
        <v/>
      </c>
      <c r="F451" s="18"/>
      <c r="G451" s="18"/>
      <c r="H451" s="18"/>
      <c r="I451" s="18"/>
      <c r="J451" s="18"/>
      <c r="K451" s="177"/>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7"/>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7"/>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7"/>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7"/>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7"/>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7"/>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7"/>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7"/>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7"/>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7"/>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7"/>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7"/>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7"/>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7"/>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7"/>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7"/>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7"/>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7"/>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7"/>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7"/>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7"/>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7"/>
      <c r="L473" s="18"/>
      <c r="M473" s="18"/>
      <c r="N473" s="18"/>
      <c r="O473" s="18"/>
      <c r="P473" s="18"/>
      <c r="Q473" s="18"/>
      <c r="R473" s="18"/>
      <c r="S473" s="18"/>
      <c r="T473" s="18"/>
      <c r="U473" s="18"/>
      <c r="V473" s="18"/>
      <c r="W473" s="18"/>
      <c r="X473" s="18"/>
      <c r="Y473" s="18"/>
    </row>
    <row r="474" spans="1:25" ht="32.25" customHeight="1">
      <c r="A474" s="172" t="s">
        <v>98</v>
      </c>
      <c r="B474" s="23" t="s">
        <v>90</v>
      </c>
      <c r="C474" s="24" t="s">
        <v>123</v>
      </c>
      <c r="D474" s="25" t="s">
        <v>100</v>
      </c>
      <c r="E474" s="93"/>
      <c r="K474" s="177"/>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https://www.comunidad.madrid/transparencia/</v>
      </c>
      <c r="D475" s="99" t="s">
        <v>103</v>
      </c>
      <c r="E475" s="79" t="str">
        <f t="shared" ref="E475:E509" si="24">IF(D475&lt;&gt;"",IF(AND(B475&lt;&gt;"",C475&lt;&gt;""),"","ERR"),"")</f>
        <v/>
      </c>
      <c r="F475" s="86" t="s">
        <v>101</v>
      </c>
      <c r="G475" s="87" t="s">
        <v>102</v>
      </c>
      <c r="H475" s="88" t="s">
        <v>103</v>
      </c>
      <c r="I475" s="89" t="s">
        <v>93</v>
      </c>
      <c r="J475" s="90" t="s">
        <v>91</v>
      </c>
      <c r="K475" s="180"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Aviso legal</v>
      </c>
      <c r="C476" s="85" t="str" cm="1">
        <f t="array" ref="C476">IFERROR(INDEX('03.Muestra'!$F$8:$F$42,SMALL(IF("Página Web"='03.Muestra'!$D$8:$D$42,ROW('03.Muestra'!$F$8:$F$42)-MIN(ROW('03.Muestra'!$D$8:$D$42))+1,""),ROW()-474)),"")</f>
        <v>https://www.comunidad.madrid/transparencia/aviso-legal</v>
      </c>
      <c r="D476" s="99" t="s">
        <v>103</v>
      </c>
      <c r="E476" s="79" t="str">
        <f t="shared" si="24"/>
        <v/>
      </c>
      <c r="F476" s="91">
        <f ca="1">COUNTIF($D475:INDIRECT("$D" &amp;  SUM(ROW()-1,'03.Muestra'!$D$45)-1),F475)</f>
        <v>0</v>
      </c>
      <c r="G476" s="91">
        <f ca="1">COUNTIF($D475:INDIRECT("$D" &amp;  SUM(ROW()-1,'03.Muestra'!$D$45)-1),G475)</f>
        <v>0</v>
      </c>
      <c r="H476" s="91">
        <f ca="1">COUNTIF($D475:INDIRECT("$D" &amp;  SUM(ROW()-1,'03.Muestra'!$D$45)-1),H475)</f>
        <v>14</v>
      </c>
      <c r="I476" s="91">
        <f ca="1">COUNTIF($D475:INDIRECT("$D" &amp;  SUM(ROW()-1,'03.Muestra'!$D$45)-1),I475)</f>
        <v>0</v>
      </c>
      <c r="J476" s="91">
        <f ca="1">COUNTIF($D475:INDIRECT("$D" &amp;  SUM(ROW()-1,'03.Muestra'!$D$45)-1),J475)</f>
        <v>0</v>
      </c>
      <c r="K476" s="181">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Accesibilidad</v>
      </c>
      <c r="C477" s="85" t="str" cm="1">
        <f t="array" ref="C477">IFERROR(INDEX('03.Muestra'!$F$8:$F$42,SMALL(IF("Página Web"='03.Muestra'!$D$8:$D$42,ROW('03.Muestra'!$F$8:$F$42)-MIN(ROW('03.Muestra'!$D$8:$D$42))+1,""),ROW()-474)),"")</f>
        <v>https://www.comunidad.madrid/transparencia/declaracion-accesibilidad</v>
      </c>
      <c r="D477" s="99" t="s">
        <v>103</v>
      </c>
      <c r="E477" s="79" t="str">
        <f t="shared" si="24"/>
        <v/>
      </c>
      <c r="K477" s="177"/>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Tranparencia</v>
      </c>
      <c r="C478" s="85" t="str" cm="1">
        <f t="array" ref="C478">IFERROR(INDEX('03.Muestra'!$F$8:$F$42,SMALL(IF("Página Web"='03.Muestra'!$D$8:$D$42,ROW('03.Muestra'!$F$8:$F$42)-MIN(ROW('03.Muestra'!$D$8:$D$42))+1,""),ROW()-474)),"")</f>
        <v>https://www.comunidad.madrid/transparencia/que-es-transparencia</v>
      </c>
      <c r="D478" s="99" t="s">
        <v>103</v>
      </c>
      <c r="E478" s="79" t="str">
        <f t="shared" si="24"/>
        <v/>
      </c>
      <c r="G478" s="18"/>
      <c r="H478" s="18"/>
      <c r="I478" s="18"/>
      <c r="J478" s="18"/>
      <c r="K478" s="177"/>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Organización</v>
      </c>
      <c r="C479" s="85" t="str" cm="1">
        <f t="array" ref="C479">IFERROR(INDEX('03.Muestra'!$F$8:$F$42,SMALL(IF("Página Web"='03.Muestra'!$D$8:$D$42,ROW('03.Muestra'!$F$8:$F$42)-MIN(ROW('03.Muestra'!$D$8:$D$42))+1,""),ROW()-474)),"")</f>
        <v>https://www.comunidad.madrid/transparencia/organizacion-recursos/organizacion</v>
      </c>
      <c r="D479" s="99" t="s">
        <v>103</v>
      </c>
      <c r="E479" s="79" t="str">
        <f t="shared" si="24"/>
        <v/>
      </c>
      <c r="G479" s="18"/>
      <c r="H479" s="18"/>
      <c r="I479" s="18"/>
      <c r="J479" s="18"/>
      <c r="K479" s="177"/>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Quejas</v>
      </c>
      <c r="C480" s="85" t="str" cm="1">
        <f t="array" ref="C480">IFERROR(INDEX('03.Muestra'!$F$8:$F$42,SMALL(IF("Página Web"='03.Muestra'!$D$8:$D$42,ROW('03.Muestra'!$F$8:$F$42)-MIN(ROW('03.Muestra'!$D$8:$D$42))+1,""),ROW()-474)),"")</f>
        <v>https://www.comunidad.madrid/transparencia/quejas-y-reclamaciones</v>
      </c>
      <c r="D480" s="99" t="s">
        <v>103</v>
      </c>
      <c r="E480" s="79" t="str">
        <f t="shared" si="24"/>
        <v/>
      </c>
      <c r="G480" s="18"/>
      <c r="H480" s="18"/>
      <c r="I480" s="18"/>
      <c r="J480" s="18"/>
      <c r="K480" s="177"/>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Contratos</v>
      </c>
      <c r="C481" s="85" t="str" cm="1">
        <f t="array" ref="C481">IFERROR(INDEX('03.Muestra'!$F$8:$F$42,SMALL(IF("Página Web"='03.Muestra'!$D$8:$D$42,ROW('03.Muestra'!$F$8:$F$42)-MIN(ROW('03.Muestra'!$D$8:$D$42))+1,""),ROW()-474)),"")</f>
        <v>https://www.comunidad.madrid/transparencia/contratos</v>
      </c>
      <c r="D481" s="99" t="s">
        <v>103</v>
      </c>
      <c r="E481" s="79" t="str">
        <f t="shared" si="24"/>
        <v/>
      </c>
      <c r="F481" s="18"/>
      <c r="G481" s="18"/>
      <c r="H481" s="18"/>
      <c r="I481" s="18"/>
      <c r="J481" s="18"/>
      <c r="K481" s="177"/>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Consulta</v>
      </c>
      <c r="C482" s="85" t="str" cm="1">
        <f t="array" ref="C482">IFERROR(INDEX('03.Muestra'!$F$8:$F$42,SMALL(IF("Página Web"='03.Muestra'!$D$8:$D$42,ROW('03.Muestra'!$F$8:$F$42)-MIN(ROW('03.Muestra'!$D$8:$D$42))+1,""),ROW()-474)),"")</f>
        <v>https://www.comunidad.madrid/transparencia/normativa-planificacion/consulta-publica</v>
      </c>
      <c r="D482" s="99" t="s">
        <v>103</v>
      </c>
      <c r="E482" s="79" t="str">
        <f t="shared" si="24"/>
        <v/>
      </c>
      <c r="F482" s="18"/>
      <c r="G482" s="18"/>
      <c r="H482" s="18"/>
      <c r="I482" s="18"/>
      <c r="J482" s="18"/>
      <c r="K482" s="177"/>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Proyecto</v>
      </c>
      <c r="C483" s="85" t="str" cm="1">
        <f t="array" ref="C483">IFERROR(INDEX('03.Muestra'!$F$8:$F$42,SMALL(IF("Página Web"='03.Muestra'!$D$8:$D$42,ROW('03.Muestra'!$F$8:$F$42)-MIN(ROW('03.Muestra'!$D$8:$D$42))+1,""),ROW()-474)),"")</f>
        <v>https://www.comunidad.madrid/transparencia/proyecto-orden-que-se-crea-comision-farmacia-y-productos-sanitarios-cm-y-se-establece-su-composicion</v>
      </c>
      <c r="D483" s="99" t="s">
        <v>103</v>
      </c>
      <c r="E483" s="79" t="str">
        <f t="shared" si="24"/>
        <v/>
      </c>
      <c r="F483" s="18"/>
      <c r="G483" s="18"/>
      <c r="H483" s="18"/>
      <c r="I483" s="18"/>
      <c r="J483" s="18"/>
      <c r="K483" s="177"/>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Planes y Programas</v>
      </c>
      <c r="C484" s="85" t="str" cm="1">
        <f t="array" ref="C484">IFERROR(INDEX('03.Muestra'!$F$8:$F$42,SMALL(IF("Página Web"='03.Muestra'!$D$8:$D$42,ROW('03.Muestra'!$F$8:$F$42)-MIN(ROW('03.Muestra'!$D$8:$D$42))+1,""),ROW()-474)),"")</f>
        <v>https://www.comunidad.madrid/transparencia/normativa-planificacion/planes-programas</v>
      </c>
      <c r="D484" s="99" t="s">
        <v>103</v>
      </c>
      <c r="E484" s="79" t="str">
        <f t="shared" si="24"/>
        <v/>
      </c>
      <c r="F484" s="18"/>
      <c r="G484" s="18"/>
      <c r="H484" s="18"/>
      <c r="I484" s="18"/>
      <c r="J484" s="18"/>
      <c r="K484" s="177"/>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Estrategia</v>
      </c>
      <c r="C485" s="85" t="str" cm="1">
        <f t="array" ref="C485">IFERROR(INDEX('03.Muestra'!$F$8:$F$42,SMALL(IF("Página Web"='03.Muestra'!$D$8:$D$42,ROW('03.Muestra'!$F$8:$F$42)-MIN(ROW('03.Muestra'!$D$8:$D$42))+1,""),ROW()-474)),"")</f>
        <v>https://www.comunidad.madrid/transparencia/informacion-institucional/planes-programas/estrategia-seguridad-del-paciente-del-servicio-madrileno</v>
      </c>
      <c r="D485" s="99" t="s">
        <v>103</v>
      </c>
      <c r="E485" s="79" t="str">
        <f t="shared" si="24"/>
        <v/>
      </c>
      <c r="F485" s="18"/>
      <c r="G485" s="18"/>
      <c r="H485" s="18"/>
      <c r="I485" s="18"/>
      <c r="J485" s="18"/>
      <c r="K485" s="177"/>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Huella</v>
      </c>
      <c r="C486" s="85" t="str" cm="1">
        <f t="array" ref="C486">IFERROR(INDEX('03.Muestra'!$F$8:$F$42,SMALL(IF("Página Web"='03.Muestra'!$D$8:$D$42,ROW('03.Muestra'!$F$8:$F$42)-MIN(ROW('03.Muestra'!$D$8:$D$42))+1,""),ROW()-474)),"")</f>
        <v>https://www.comunidad.madrid/transparencia/normativa-planificacion/huella-normativa</v>
      </c>
      <c r="D486" s="99" t="s">
        <v>103</v>
      </c>
      <c r="E486" s="79" t="str">
        <f t="shared" si="24"/>
        <v/>
      </c>
      <c r="F486" s="18"/>
      <c r="G486" s="18"/>
      <c r="H486" s="18"/>
      <c r="I486" s="18"/>
      <c r="J486" s="18"/>
      <c r="K486" s="177"/>
      <c r="L486" s="18"/>
      <c r="M486" s="18"/>
      <c r="N486" s="18"/>
      <c r="O486" s="18"/>
      <c r="P486" s="18"/>
      <c r="Q486" s="18"/>
      <c r="R486" s="18"/>
      <c r="S486" s="18"/>
      <c r="T486" s="18"/>
      <c r="U486" s="18"/>
      <c r="V486" s="18"/>
      <c r="W486" s="18"/>
      <c r="X486" s="18"/>
      <c r="Y486" s="18"/>
    </row>
    <row r="487" spans="1:25" ht="14.15"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Decreto</v>
      </c>
      <c r="C487" s="85" t="str" cm="1">
        <f t="array" ref="C487">IFERROR(INDEX('03.Muestra'!$F$8:$F$42,SMALL(IF("Página Web"='03.Muestra'!$D$8:$D$42,ROW('03.Muestra'!$F$8:$F$42)-MIN(ROW('03.Muestra'!$D$8:$D$42))+1,""),ROW()-474)),"")</f>
        <v>https://www.comunidad.madrid/transparencia/decreto-del-consejo-gobierno-que-se-establece-estructura-organica-consejeria-familia-juventud-y</v>
      </c>
      <c r="D487" s="99" t="s">
        <v>103</v>
      </c>
      <c r="E487" s="79" t="str">
        <f t="shared" si="24"/>
        <v/>
      </c>
      <c r="F487" s="18"/>
      <c r="G487" s="18"/>
      <c r="H487" s="18"/>
      <c r="I487" s="18"/>
      <c r="J487" s="18"/>
      <c r="K487" s="177"/>
      <c r="L487" s="18"/>
      <c r="M487" s="18"/>
      <c r="N487" s="18"/>
      <c r="O487" s="18"/>
      <c r="P487" s="18"/>
      <c r="Q487" s="18"/>
      <c r="R487" s="18"/>
      <c r="S487" s="18"/>
      <c r="T487" s="18"/>
      <c r="U487" s="18"/>
      <c r="V487" s="18"/>
      <c r="W487" s="18"/>
      <c r="X487" s="18"/>
      <c r="Y487" s="18"/>
    </row>
    <row r="488" spans="1:25" ht="14.15"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Entidades Locales</v>
      </c>
      <c r="C488" s="85" t="str" cm="1">
        <f t="array" ref="C488">IFERROR(INDEX('03.Muestra'!$F$8:$F$42,SMALL(IF("Página Web"='03.Muestra'!$D$8:$D$42,ROW('03.Muestra'!$F$8:$F$42)-MIN(ROW('03.Muestra'!$D$8:$D$42))+1,""),ROW()-474)),"")</f>
        <v>https://www.comunidad.madrid/transparencia/entidades-locales</v>
      </c>
      <c r="D488" s="99" t="s">
        <v>103</v>
      </c>
      <c r="E488" s="79" t="str">
        <f t="shared" si="24"/>
        <v/>
      </c>
      <c r="F488" s="18"/>
      <c r="G488" s="18"/>
      <c r="H488" s="18"/>
      <c r="I488" s="18"/>
      <c r="J488" s="18"/>
      <c r="K488" s="177"/>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ref="D489:D509" si="25">IF(AND(B489&lt;&gt;"",C489&lt;&gt;""),"N/T","")</f>
        <v/>
      </c>
      <c r="E489" s="79" t="str">
        <f t="shared" si="24"/>
        <v/>
      </c>
      <c r="F489" s="18"/>
      <c r="G489" s="18"/>
      <c r="H489" s="18"/>
      <c r="I489" s="18"/>
      <c r="J489" s="18"/>
      <c r="K489" s="177"/>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7"/>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7"/>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7"/>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7"/>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7"/>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7"/>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7"/>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7"/>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7"/>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7"/>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7"/>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7"/>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7"/>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7"/>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7"/>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7"/>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7"/>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7"/>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7"/>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7"/>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7"/>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7"/>
      <c r="L511" s="18"/>
      <c r="M511" s="18"/>
      <c r="N511" s="18"/>
      <c r="O511" s="18"/>
      <c r="P511" s="18"/>
      <c r="Q511" s="18"/>
      <c r="R511" s="18"/>
      <c r="S511" s="18"/>
      <c r="T511" s="18"/>
      <c r="U511" s="18"/>
      <c r="V511" s="18"/>
      <c r="W511" s="18"/>
      <c r="X511" s="18"/>
      <c r="Y511" s="18"/>
    </row>
    <row r="512" spans="1:25" ht="32.25" customHeight="1">
      <c r="A512" s="172" t="s">
        <v>98</v>
      </c>
      <c r="B512" s="23" t="s">
        <v>90</v>
      </c>
      <c r="C512" s="24" t="s">
        <v>124</v>
      </c>
      <c r="D512" s="25" t="s">
        <v>100</v>
      </c>
      <c r="E512" s="93"/>
      <c r="K512" s="177"/>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https://www.comunidad.madrid/transparencia/</v>
      </c>
      <c r="D513" s="99" t="s">
        <v>103</v>
      </c>
      <c r="E513" s="79" t="str">
        <f t="shared" ref="E513:E547" si="26">IF(D513&lt;&gt;"",IF(AND(B513&lt;&gt;"",C513&lt;&gt;""),"","ERR"),"")</f>
        <v/>
      </c>
      <c r="F513" s="86" t="s">
        <v>101</v>
      </c>
      <c r="G513" s="87" t="s">
        <v>102</v>
      </c>
      <c r="H513" s="88" t="s">
        <v>103</v>
      </c>
      <c r="I513" s="89" t="s">
        <v>93</v>
      </c>
      <c r="J513" s="90" t="s">
        <v>91</v>
      </c>
      <c r="K513" s="180"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Aviso legal</v>
      </c>
      <c r="C514" s="85" t="str" cm="1">
        <f t="array" ref="C514">IFERROR(INDEX('03.Muestra'!$F$8:$F$42,SMALL(IF("Página Web"='03.Muestra'!$D$8:$D$42,ROW('03.Muestra'!$F$8:$F$42)-MIN(ROW('03.Muestra'!$D$8:$D$42))+1,""),ROW()-512)),"")</f>
        <v>https://www.comunidad.madrid/transparencia/aviso-legal</v>
      </c>
      <c r="D514" s="99" t="s">
        <v>103</v>
      </c>
      <c r="E514" s="79" t="str">
        <f t="shared" si="26"/>
        <v/>
      </c>
      <c r="F514" s="91">
        <f ca="1">COUNTIF($D513:INDIRECT("$D" &amp;  SUM(ROW()-1,'03.Muestra'!$D$45)-1),F513)</f>
        <v>0</v>
      </c>
      <c r="G514" s="91">
        <f ca="1">COUNTIF($D513:INDIRECT("$D" &amp;  SUM(ROW()-1,'03.Muestra'!$D$45)-1),G513)</f>
        <v>0</v>
      </c>
      <c r="H514" s="91">
        <f ca="1">COUNTIF($D513:INDIRECT("$D" &amp;  SUM(ROW()-1,'03.Muestra'!$D$45)-1),H513)</f>
        <v>14</v>
      </c>
      <c r="I514" s="91">
        <f ca="1">COUNTIF($D513:INDIRECT("$D" &amp;  SUM(ROW()-1,'03.Muestra'!$D$45)-1),I513)</f>
        <v>0</v>
      </c>
      <c r="J514" s="91">
        <f ca="1">COUNTIF($D513:INDIRECT("$D" &amp;  SUM(ROW()-1,'03.Muestra'!$D$45)-1),J513)</f>
        <v>0</v>
      </c>
      <c r="K514" s="181">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Accesibilidad</v>
      </c>
      <c r="C515" s="85" t="str" cm="1">
        <f t="array" ref="C515">IFERROR(INDEX('03.Muestra'!$F$8:$F$42,SMALL(IF("Página Web"='03.Muestra'!$D$8:$D$42,ROW('03.Muestra'!$F$8:$F$42)-MIN(ROW('03.Muestra'!$D$8:$D$42))+1,""),ROW()-512)),"")</f>
        <v>https://www.comunidad.madrid/transparencia/declaracion-accesibilidad</v>
      </c>
      <c r="D515" s="99" t="s">
        <v>103</v>
      </c>
      <c r="E515" s="79" t="str">
        <f t="shared" si="26"/>
        <v/>
      </c>
      <c r="K515" s="177"/>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Tranparencia</v>
      </c>
      <c r="C516" s="85" t="str" cm="1">
        <f t="array" ref="C516">IFERROR(INDEX('03.Muestra'!$F$8:$F$42,SMALL(IF("Página Web"='03.Muestra'!$D$8:$D$42,ROW('03.Muestra'!$F$8:$F$42)-MIN(ROW('03.Muestra'!$D$8:$D$42))+1,""),ROW()-512)),"")</f>
        <v>https://www.comunidad.madrid/transparencia/que-es-transparencia</v>
      </c>
      <c r="D516" s="99" t="s">
        <v>103</v>
      </c>
      <c r="E516" s="79" t="str">
        <f t="shared" si="26"/>
        <v/>
      </c>
      <c r="G516" s="18"/>
      <c r="H516" s="18"/>
      <c r="I516" s="18"/>
      <c r="J516" s="18"/>
      <c r="K516" s="177"/>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Organización</v>
      </c>
      <c r="C517" s="85" t="str" cm="1">
        <f t="array" ref="C517">IFERROR(INDEX('03.Muestra'!$F$8:$F$42,SMALL(IF("Página Web"='03.Muestra'!$D$8:$D$42,ROW('03.Muestra'!$F$8:$F$42)-MIN(ROW('03.Muestra'!$D$8:$D$42))+1,""),ROW()-512)),"")</f>
        <v>https://www.comunidad.madrid/transparencia/organizacion-recursos/organizacion</v>
      </c>
      <c r="D517" s="99" t="s">
        <v>103</v>
      </c>
      <c r="E517" s="79" t="str">
        <f t="shared" si="26"/>
        <v/>
      </c>
      <c r="G517" s="18"/>
      <c r="H517" s="18"/>
      <c r="I517" s="18"/>
      <c r="J517" s="18"/>
      <c r="K517" s="177"/>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Quejas</v>
      </c>
      <c r="C518" s="85" t="str" cm="1">
        <f t="array" ref="C518">IFERROR(INDEX('03.Muestra'!$F$8:$F$42,SMALL(IF("Página Web"='03.Muestra'!$D$8:$D$42,ROW('03.Muestra'!$F$8:$F$42)-MIN(ROW('03.Muestra'!$D$8:$D$42))+1,""),ROW()-512)),"")</f>
        <v>https://www.comunidad.madrid/transparencia/quejas-y-reclamaciones</v>
      </c>
      <c r="D518" s="99" t="s">
        <v>103</v>
      </c>
      <c r="E518" s="79" t="str">
        <f t="shared" si="26"/>
        <v/>
      </c>
      <c r="G518" s="18"/>
      <c r="H518" s="18"/>
      <c r="I518" s="18"/>
      <c r="J518" s="18"/>
      <c r="K518" s="177"/>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Contratos</v>
      </c>
      <c r="C519" s="85" t="str" cm="1">
        <f t="array" ref="C519">IFERROR(INDEX('03.Muestra'!$F$8:$F$42,SMALL(IF("Página Web"='03.Muestra'!$D$8:$D$42,ROW('03.Muestra'!$F$8:$F$42)-MIN(ROW('03.Muestra'!$D$8:$D$42))+1,""),ROW()-512)),"")</f>
        <v>https://www.comunidad.madrid/transparencia/contratos</v>
      </c>
      <c r="D519" s="99" t="s">
        <v>103</v>
      </c>
      <c r="E519" s="79" t="str">
        <f t="shared" si="26"/>
        <v/>
      </c>
      <c r="F519" s="18"/>
      <c r="G519" s="18"/>
      <c r="H519" s="18"/>
      <c r="I519" s="18"/>
      <c r="J519" s="18"/>
      <c r="K519" s="177"/>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Consulta</v>
      </c>
      <c r="C520" s="85" t="str" cm="1">
        <f t="array" ref="C520">IFERROR(INDEX('03.Muestra'!$F$8:$F$42,SMALL(IF("Página Web"='03.Muestra'!$D$8:$D$42,ROW('03.Muestra'!$F$8:$F$42)-MIN(ROW('03.Muestra'!$D$8:$D$42))+1,""),ROW()-512)),"")</f>
        <v>https://www.comunidad.madrid/transparencia/normativa-planificacion/consulta-publica</v>
      </c>
      <c r="D520" s="99" t="s">
        <v>103</v>
      </c>
      <c r="E520" s="79" t="str">
        <f t="shared" si="26"/>
        <v/>
      </c>
      <c r="F520" s="18"/>
      <c r="G520" s="18"/>
      <c r="H520" s="18"/>
      <c r="I520" s="18"/>
      <c r="J520" s="18"/>
      <c r="K520" s="177"/>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Proyecto</v>
      </c>
      <c r="C521" s="85" t="str" cm="1">
        <f t="array" ref="C521">IFERROR(INDEX('03.Muestra'!$F$8:$F$42,SMALL(IF("Página Web"='03.Muestra'!$D$8:$D$42,ROW('03.Muestra'!$F$8:$F$42)-MIN(ROW('03.Muestra'!$D$8:$D$42))+1,""),ROW()-512)),"")</f>
        <v>https://www.comunidad.madrid/transparencia/proyecto-orden-que-se-crea-comision-farmacia-y-productos-sanitarios-cm-y-se-establece-su-composicion</v>
      </c>
      <c r="D521" s="99" t="s">
        <v>103</v>
      </c>
      <c r="E521" s="79" t="str">
        <f t="shared" si="26"/>
        <v/>
      </c>
      <c r="F521" s="18"/>
      <c r="G521" s="18"/>
      <c r="H521" s="18"/>
      <c r="I521" s="18"/>
      <c r="J521" s="18"/>
      <c r="K521" s="177"/>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Planes y Programas</v>
      </c>
      <c r="C522" s="85" t="str" cm="1">
        <f t="array" ref="C522">IFERROR(INDEX('03.Muestra'!$F$8:$F$42,SMALL(IF("Página Web"='03.Muestra'!$D$8:$D$42,ROW('03.Muestra'!$F$8:$F$42)-MIN(ROW('03.Muestra'!$D$8:$D$42))+1,""),ROW()-512)),"")</f>
        <v>https://www.comunidad.madrid/transparencia/normativa-planificacion/planes-programas</v>
      </c>
      <c r="D522" s="99" t="s">
        <v>103</v>
      </c>
      <c r="E522" s="79" t="str">
        <f t="shared" si="26"/>
        <v/>
      </c>
      <c r="F522" s="18"/>
      <c r="G522" s="18"/>
      <c r="H522" s="18"/>
      <c r="I522" s="18"/>
      <c r="J522" s="18"/>
      <c r="K522" s="177"/>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Estrategia</v>
      </c>
      <c r="C523" s="85" t="str" cm="1">
        <f t="array" ref="C523">IFERROR(INDEX('03.Muestra'!$F$8:$F$42,SMALL(IF("Página Web"='03.Muestra'!$D$8:$D$42,ROW('03.Muestra'!$F$8:$F$42)-MIN(ROW('03.Muestra'!$D$8:$D$42))+1,""),ROW()-512)),"")</f>
        <v>https://www.comunidad.madrid/transparencia/informacion-institucional/planes-programas/estrategia-seguridad-del-paciente-del-servicio-madrileno</v>
      </c>
      <c r="D523" s="99" t="s">
        <v>103</v>
      </c>
      <c r="E523" s="79" t="str">
        <f t="shared" si="26"/>
        <v/>
      </c>
      <c r="F523" s="18"/>
      <c r="G523" s="18"/>
      <c r="H523" s="18"/>
      <c r="I523" s="18"/>
      <c r="J523" s="18"/>
      <c r="K523" s="177"/>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Huella</v>
      </c>
      <c r="C524" s="85" t="str" cm="1">
        <f t="array" ref="C524">IFERROR(INDEX('03.Muestra'!$F$8:$F$42,SMALL(IF("Página Web"='03.Muestra'!$D$8:$D$42,ROW('03.Muestra'!$F$8:$F$42)-MIN(ROW('03.Muestra'!$D$8:$D$42))+1,""),ROW()-512)),"")</f>
        <v>https://www.comunidad.madrid/transparencia/normativa-planificacion/huella-normativa</v>
      </c>
      <c r="D524" s="99" t="s">
        <v>103</v>
      </c>
      <c r="E524" s="79" t="str">
        <f t="shared" si="26"/>
        <v/>
      </c>
      <c r="F524" s="18"/>
      <c r="G524" s="18"/>
      <c r="H524" s="18"/>
      <c r="I524" s="18"/>
      <c r="J524" s="18"/>
      <c r="K524" s="177"/>
      <c r="L524" s="18"/>
      <c r="M524" s="18"/>
      <c r="N524" s="18"/>
      <c r="O524" s="18"/>
      <c r="P524" s="18"/>
      <c r="Q524" s="18"/>
      <c r="R524" s="18"/>
      <c r="S524" s="18"/>
      <c r="T524" s="18"/>
      <c r="U524" s="18"/>
      <c r="V524" s="18"/>
      <c r="W524" s="18"/>
      <c r="X524" s="18"/>
      <c r="Y524" s="18"/>
    </row>
    <row r="525" spans="1:25" ht="14.15"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Decreto</v>
      </c>
      <c r="C525" s="85" t="str" cm="1">
        <f t="array" ref="C525">IFERROR(INDEX('03.Muestra'!$F$8:$F$42,SMALL(IF("Página Web"='03.Muestra'!$D$8:$D$42,ROW('03.Muestra'!$F$8:$F$42)-MIN(ROW('03.Muestra'!$D$8:$D$42))+1,""),ROW()-512)),"")</f>
        <v>https://www.comunidad.madrid/transparencia/decreto-del-consejo-gobierno-que-se-establece-estructura-organica-consejeria-familia-juventud-y</v>
      </c>
      <c r="D525" s="99" t="s">
        <v>103</v>
      </c>
      <c r="E525" s="79" t="str">
        <f t="shared" si="26"/>
        <v/>
      </c>
      <c r="F525" s="18"/>
      <c r="G525" s="18"/>
      <c r="H525" s="18"/>
      <c r="I525" s="18"/>
      <c r="J525" s="18"/>
      <c r="K525" s="177"/>
      <c r="L525" s="18"/>
      <c r="M525" s="18"/>
      <c r="N525" s="18"/>
      <c r="O525" s="18"/>
      <c r="P525" s="18"/>
      <c r="Q525" s="18"/>
      <c r="R525" s="18"/>
      <c r="S525" s="18"/>
      <c r="T525" s="18"/>
      <c r="U525" s="18"/>
      <c r="V525" s="18"/>
      <c r="W525" s="18"/>
      <c r="X525" s="18"/>
      <c r="Y525" s="18"/>
    </row>
    <row r="526" spans="1:25" ht="14.15"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Entidades Locales</v>
      </c>
      <c r="C526" s="85" t="str" cm="1">
        <f t="array" ref="C526">IFERROR(INDEX('03.Muestra'!$F$8:$F$42,SMALL(IF("Página Web"='03.Muestra'!$D$8:$D$42,ROW('03.Muestra'!$F$8:$F$42)-MIN(ROW('03.Muestra'!$D$8:$D$42))+1,""),ROW()-512)),"")</f>
        <v>https://www.comunidad.madrid/transparencia/entidades-locales</v>
      </c>
      <c r="D526" s="99" t="s">
        <v>103</v>
      </c>
      <c r="E526" s="79" t="str">
        <f t="shared" si="26"/>
        <v/>
      </c>
      <c r="F526" s="18"/>
      <c r="G526" s="18"/>
      <c r="H526" s="18"/>
      <c r="I526" s="18"/>
      <c r="J526" s="18"/>
      <c r="K526" s="177"/>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ref="D527:D547" si="27">IF(AND(B527&lt;&gt;"",C527&lt;&gt;""),"N/T","")</f>
        <v/>
      </c>
      <c r="E527" s="79" t="str">
        <f t="shared" si="26"/>
        <v/>
      </c>
      <c r="F527" s="18"/>
      <c r="G527" s="18"/>
      <c r="H527" s="18"/>
      <c r="I527" s="18"/>
      <c r="J527" s="18"/>
      <c r="K527" s="177"/>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7"/>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7"/>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7"/>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7"/>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7"/>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7"/>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7"/>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7"/>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7"/>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7"/>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7"/>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7"/>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7"/>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7"/>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7"/>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7"/>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7"/>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7"/>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7"/>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7"/>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7"/>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7"/>
      <c r="L549" s="18"/>
      <c r="M549" s="18"/>
      <c r="N549" s="18"/>
      <c r="O549" s="18"/>
      <c r="P549" s="18"/>
      <c r="Q549" s="18"/>
      <c r="R549" s="18"/>
      <c r="S549" s="18"/>
      <c r="T549" s="18"/>
      <c r="U549" s="18"/>
      <c r="V549" s="18"/>
      <c r="W549" s="18"/>
      <c r="X549" s="18"/>
      <c r="Y549" s="18"/>
    </row>
    <row r="550" spans="1:25" ht="32.25" customHeight="1">
      <c r="A550" s="172" t="s">
        <v>98</v>
      </c>
      <c r="B550" s="23" t="s">
        <v>90</v>
      </c>
      <c r="C550" s="24" t="s">
        <v>125</v>
      </c>
      <c r="D550" s="25" t="s">
        <v>100</v>
      </c>
      <c r="E550" s="93"/>
      <c r="K550" s="177"/>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https://www.comunidad.madrid/transparencia/</v>
      </c>
      <c r="D551" s="99" t="s">
        <v>103</v>
      </c>
      <c r="E551" s="79" t="str">
        <f t="shared" ref="E551:E585" si="28">IF(D551&lt;&gt;"",IF(AND(B551&lt;&gt;"",C551&lt;&gt;""),"","ERR"),"")</f>
        <v/>
      </c>
      <c r="F551" s="86" t="s">
        <v>101</v>
      </c>
      <c r="G551" s="87" t="s">
        <v>102</v>
      </c>
      <c r="H551" s="88" t="s">
        <v>103</v>
      </c>
      <c r="I551" s="89" t="s">
        <v>93</v>
      </c>
      <c r="J551" s="90" t="s">
        <v>91</v>
      </c>
      <c r="K551" s="180"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Aviso legal</v>
      </c>
      <c r="C552" s="85" t="str" cm="1">
        <f t="array" ref="C552">IFERROR(INDEX('03.Muestra'!$F$8:$F$42,SMALL(IF("Página Web"='03.Muestra'!$D$8:$D$42,ROW('03.Muestra'!$F$8:$F$42)-MIN(ROW('03.Muestra'!$D$8:$D$42))+1,""),ROW()-550)),"")</f>
        <v>https://www.comunidad.madrid/transparencia/aviso-legal</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14</v>
      </c>
      <c r="I552" s="91">
        <f ca="1">COUNTIF($D551:INDIRECT("$D" &amp;  SUM(ROW()-1,'03.Muestra'!$D$45)-1),I551)</f>
        <v>0</v>
      </c>
      <c r="J552" s="91">
        <f ca="1">COUNTIF($D551:INDIRECT("$D" &amp;  SUM(ROW()-1,'03.Muestra'!$D$45)-1),J551)</f>
        <v>0</v>
      </c>
      <c r="K552" s="181">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Accesibilidad</v>
      </c>
      <c r="C553" s="85" t="str" cm="1">
        <f t="array" ref="C553">IFERROR(INDEX('03.Muestra'!$F$8:$F$42,SMALL(IF("Página Web"='03.Muestra'!$D$8:$D$42,ROW('03.Muestra'!$F$8:$F$42)-MIN(ROW('03.Muestra'!$D$8:$D$42))+1,""),ROW()-550)),"")</f>
        <v>https://www.comunidad.madrid/transparencia/declaracion-accesibilidad</v>
      </c>
      <c r="D553" s="99" t="s">
        <v>103</v>
      </c>
      <c r="E553" s="79" t="str">
        <f t="shared" si="28"/>
        <v/>
      </c>
      <c r="G553" s="18"/>
      <c r="H553" s="18"/>
      <c r="I553" s="18"/>
      <c r="J553" s="18"/>
      <c r="K553" s="177"/>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Tranparencia</v>
      </c>
      <c r="C554" s="85" t="str" cm="1">
        <f t="array" ref="C554">IFERROR(INDEX('03.Muestra'!$F$8:$F$42,SMALL(IF("Página Web"='03.Muestra'!$D$8:$D$42,ROW('03.Muestra'!$F$8:$F$42)-MIN(ROW('03.Muestra'!$D$8:$D$42))+1,""),ROW()-550)),"")</f>
        <v>https://www.comunidad.madrid/transparencia/que-es-transparencia</v>
      </c>
      <c r="D554" s="99" t="s">
        <v>103</v>
      </c>
      <c r="E554" s="79" t="str">
        <f t="shared" si="28"/>
        <v/>
      </c>
      <c r="G554" s="18"/>
      <c r="H554" s="18"/>
      <c r="I554" s="18"/>
      <c r="J554" s="18"/>
      <c r="K554" s="177"/>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Organización</v>
      </c>
      <c r="C555" s="85" t="str" cm="1">
        <f t="array" ref="C555">IFERROR(INDEX('03.Muestra'!$F$8:$F$42,SMALL(IF("Página Web"='03.Muestra'!$D$8:$D$42,ROW('03.Muestra'!$F$8:$F$42)-MIN(ROW('03.Muestra'!$D$8:$D$42))+1,""),ROW()-550)),"")</f>
        <v>https://www.comunidad.madrid/transparencia/organizacion-recursos/organizacion</v>
      </c>
      <c r="D555" s="99" t="s">
        <v>103</v>
      </c>
      <c r="E555" s="79" t="str">
        <f t="shared" si="28"/>
        <v/>
      </c>
      <c r="G555" s="18"/>
      <c r="H555" s="18"/>
      <c r="I555" s="18"/>
      <c r="J555" s="18"/>
      <c r="K555" s="177"/>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Quejas</v>
      </c>
      <c r="C556" s="85" t="str" cm="1">
        <f t="array" ref="C556">IFERROR(INDEX('03.Muestra'!$F$8:$F$42,SMALL(IF("Página Web"='03.Muestra'!$D$8:$D$42,ROW('03.Muestra'!$F$8:$F$42)-MIN(ROW('03.Muestra'!$D$8:$D$42))+1,""),ROW()-550)),"")</f>
        <v>https://www.comunidad.madrid/transparencia/quejas-y-reclamaciones</v>
      </c>
      <c r="D556" s="99" t="s">
        <v>103</v>
      </c>
      <c r="E556" s="79" t="str">
        <f t="shared" si="28"/>
        <v/>
      </c>
      <c r="G556" s="18"/>
      <c r="H556" s="18"/>
      <c r="I556" s="18"/>
      <c r="J556" s="18"/>
      <c r="K556" s="177"/>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Contratos</v>
      </c>
      <c r="C557" s="85" t="str" cm="1">
        <f t="array" ref="C557">IFERROR(INDEX('03.Muestra'!$F$8:$F$42,SMALL(IF("Página Web"='03.Muestra'!$D$8:$D$42,ROW('03.Muestra'!$F$8:$F$42)-MIN(ROW('03.Muestra'!$D$8:$D$42))+1,""),ROW()-550)),"")</f>
        <v>https://www.comunidad.madrid/transparencia/contratos</v>
      </c>
      <c r="D557" s="99" t="s">
        <v>103</v>
      </c>
      <c r="E557" s="79" t="str">
        <f t="shared" si="28"/>
        <v/>
      </c>
      <c r="F557" s="18"/>
      <c r="G557" s="18"/>
      <c r="H557" s="18"/>
      <c r="I557" s="18"/>
      <c r="J557" s="18"/>
      <c r="K557" s="177"/>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Consulta</v>
      </c>
      <c r="C558" s="85" t="str" cm="1">
        <f t="array" ref="C558">IFERROR(INDEX('03.Muestra'!$F$8:$F$42,SMALL(IF("Página Web"='03.Muestra'!$D$8:$D$42,ROW('03.Muestra'!$F$8:$F$42)-MIN(ROW('03.Muestra'!$D$8:$D$42))+1,""),ROW()-550)),"")</f>
        <v>https://www.comunidad.madrid/transparencia/normativa-planificacion/consulta-publica</v>
      </c>
      <c r="D558" s="99" t="s">
        <v>103</v>
      </c>
      <c r="E558" s="79" t="str">
        <f t="shared" si="28"/>
        <v/>
      </c>
      <c r="F558" s="18"/>
      <c r="G558" s="18"/>
      <c r="H558" s="18"/>
      <c r="I558" s="18"/>
      <c r="J558" s="18"/>
      <c r="K558" s="177"/>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Proyecto</v>
      </c>
      <c r="C559" s="85" t="str" cm="1">
        <f t="array" ref="C559">IFERROR(INDEX('03.Muestra'!$F$8:$F$42,SMALL(IF("Página Web"='03.Muestra'!$D$8:$D$42,ROW('03.Muestra'!$F$8:$F$42)-MIN(ROW('03.Muestra'!$D$8:$D$42))+1,""),ROW()-550)),"")</f>
        <v>https://www.comunidad.madrid/transparencia/proyecto-orden-que-se-crea-comision-farmacia-y-productos-sanitarios-cm-y-se-establece-su-composicion</v>
      </c>
      <c r="D559" s="99" t="s">
        <v>103</v>
      </c>
      <c r="E559" s="79" t="str">
        <f t="shared" si="28"/>
        <v/>
      </c>
      <c r="F559" s="18"/>
      <c r="G559" s="18"/>
      <c r="H559" s="18"/>
      <c r="I559" s="18"/>
      <c r="J559" s="18"/>
      <c r="K559" s="177"/>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Planes y Programas</v>
      </c>
      <c r="C560" s="85" t="str" cm="1">
        <f t="array" ref="C560">IFERROR(INDEX('03.Muestra'!$F$8:$F$42,SMALL(IF("Página Web"='03.Muestra'!$D$8:$D$42,ROW('03.Muestra'!$F$8:$F$42)-MIN(ROW('03.Muestra'!$D$8:$D$42))+1,""),ROW()-550)),"")</f>
        <v>https://www.comunidad.madrid/transparencia/normativa-planificacion/planes-programas</v>
      </c>
      <c r="D560" s="99" t="s">
        <v>103</v>
      </c>
      <c r="E560" s="79" t="str">
        <f t="shared" si="28"/>
        <v/>
      </c>
      <c r="F560" s="18"/>
      <c r="G560" s="18"/>
      <c r="H560" s="18"/>
      <c r="I560" s="18"/>
      <c r="J560" s="18"/>
      <c r="K560" s="177"/>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Estrategia</v>
      </c>
      <c r="C561" s="85" t="str" cm="1">
        <f t="array" ref="C561">IFERROR(INDEX('03.Muestra'!$F$8:$F$42,SMALL(IF("Página Web"='03.Muestra'!$D$8:$D$42,ROW('03.Muestra'!$F$8:$F$42)-MIN(ROW('03.Muestra'!$D$8:$D$42))+1,""),ROW()-550)),"")</f>
        <v>https://www.comunidad.madrid/transparencia/informacion-institucional/planes-programas/estrategia-seguridad-del-paciente-del-servicio-madrileno</v>
      </c>
      <c r="D561" s="99" t="s">
        <v>103</v>
      </c>
      <c r="E561" s="79" t="str">
        <f t="shared" si="28"/>
        <v/>
      </c>
      <c r="F561" s="18"/>
      <c r="G561" s="18"/>
      <c r="H561" s="18"/>
      <c r="I561" s="18"/>
      <c r="J561" s="18"/>
      <c r="K561" s="177"/>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Huella</v>
      </c>
      <c r="C562" s="85" t="str" cm="1">
        <f t="array" ref="C562">IFERROR(INDEX('03.Muestra'!$F$8:$F$42,SMALL(IF("Página Web"='03.Muestra'!$D$8:$D$42,ROW('03.Muestra'!$F$8:$F$42)-MIN(ROW('03.Muestra'!$D$8:$D$42))+1,""),ROW()-550)),"")</f>
        <v>https://www.comunidad.madrid/transparencia/normativa-planificacion/huella-normativa</v>
      </c>
      <c r="D562" s="99" t="s">
        <v>103</v>
      </c>
      <c r="E562" s="79" t="str">
        <f t="shared" si="28"/>
        <v/>
      </c>
      <c r="F562" s="18"/>
      <c r="G562" s="18"/>
      <c r="H562" s="18"/>
      <c r="I562" s="18"/>
      <c r="J562" s="18"/>
      <c r="K562" s="177"/>
      <c r="L562" s="18"/>
      <c r="M562" s="18"/>
      <c r="N562" s="18"/>
      <c r="O562" s="18"/>
      <c r="P562" s="18"/>
      <c r="Q562" s="18"/>
      <c r="R562" s="18"/>
      <c r="S562" s="18"/>
      <c r="T562" s="18"/>
      <c r="U562" s="18"/>
      <c r="V562" s="18"/>
      <c r="W562" s="18"/>
      <c r="X562" s="18"/>
      <c r="Y562" s="18"/>
    </row>
    <row r="563" spans="1:25" ht="14.15"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Decreto</v>
      </c>
      <c r="C563" s="85" t="str" cm="1">
        <f t="array" ref="C563">IFERROR(INDEX('03.Muestra'!$F$8:$F$42,SMALL(IF("Página Web"='03.Muestra'!$D$8:$D$42,ROW('03.Muestra'!$F$8:$F$42)-MIN(ROW('03.Muestra'!$D$8:$D$42))+1,""),ROW()-550)),"")</f>
        <v>https://www.comunidad.madrid/transparencia/decreto-del-consejo-gobierno-que-se-establece-estructura-organica-consejeria-familia-juventud-y</v>
      </c>
      <c r="D563" s="99" t="s">
        <v>103</v>
      </c>
      <c r="E563" s="79" t="str">
        <f t="shared" si="28"/>
        <v/>
      </c>
      <c r="F563" s="18"/>
      <c r="G563" s="18"/>
      <c r="H563" s="18"/>
      <c r="I563" s="18"/>
      <c r="J563" s="18"/>
      <c r="K563" s="177"/>
      <c r="L563" s="18"/>
      <c r="M563" s="18"/>
      <c r="N563" s="18"/>
      <c r="O563" s="18"/>
      <c r="P563" s="18"/>
      <c r="Q563" s="18"/>
      <c r="R563" s="18"/>
      <c r="S563" s="18"/>
      <c r="T563" s="18"/>
      <c r="U563" s="18"/>
      <c r="V563" s="18"/>
      <c r="W563" s="18"/>
      <c r="X563" s="18"/>
      <c r="Y563" s="18"/>
    </row>
    <row r="564" spans="1:25" ht="14.15"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Entidades Locales</v>
      </c>
      <c r="C564" s="85" t="str" cm="1">
        <f t="array" ref="C564">IFERROR(INDEX('03.Muestra'!$F$8:$F$42,SMALL(IF("Página Web"='03.Muestra'!$D$8:$D$42,ROW('03.Muestra'!$F$8:$F$42)-MIN(ROW('03.Muestra'!$D$8:$D$42))+1,""),ROW()-550)),"")</f>
        <v>https://www.comunidad.madrid/transparencia/entidades-locales</v>
      </c>
      <c r="D564" s="99" t="s">
        <v>103</v>
      </c>
      <c r="E564" s="79" t="str">
        <f t="shared" si="28"/>
        <v/>
      </c>
      <c r="F564" s="18"/>
      <c r="G564" s="18"/>
      <c r="H564" s="18"/>
      <c r="I564" s="18"/>
      <c r="J564" s="18"/>
      <c r="K564" s="177"/>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ref="D565:D585" si="29">IF(AND(B565&lt;&gt;"",C565&lt;&gt;""),"N/T","")</f>
        <v/>
      </c>
      <c r="E565" s="79" t="str">
        <f t="shared" si="28"/>
        <v/>
      </c>
      <c r="F565" s="18"/>
      <c r="G565" s="18"/>
      <c r="H565" s="18"/>
      <c r="I565" s="18"/>
      <c r="J565" s="18"/>
      <c r="K565" s="177"/>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7"/>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7"/>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7"/>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7"/>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7"/>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7"/>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7"/>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7"/>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7"/>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7"/>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7"/>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7"/>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7"/>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7"/>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7"/>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7"/>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7"/>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7"/>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7"/>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7"/>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7"/>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7"/>
      <c r="L587" s="18"/>
      <c r="M587" s="18"/>
      <c r="N587" s="18"/>
      <c r="O587" s="18"/>
      <c r="P587" s="18"/>
      <c r="Q587" s="18"/>
      <c r="R587" s="18"/>
      <c r="S587" s="18"/>
      <c r="T587" s="18"/>
      <c r="U587" s="18"/>
      <c r="V587" s="18"/>
      <c r="W587" s="18"/>
      <c r="X587" s="18"/>
      <c r="Y587" s="18"/>
    </row>
    <row r="588" spans="1:25" ht="32.25" customHeight="1">
      <c r="A588" s="172" t="s">
        <v>98</v>
      </c>
      <c r="B588" s="23" t="s">
        <v>90</v>
      </c>
      <c r="C588" s="24" t="s">
        <v>126</v>
      </c>
      <c r="D588" s="25" t="s">
        <v>100</v>
      </c>
      <c r="E588" s="93"/>
      <c r="K588" s="177"/>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https://www.comunidad.madrid/transparencia/</v>
      </c>
      <c r="D589" s="99" t="s">
        <v>103</v>
      </c>
      <c r="E589" s="79" t="str">
        <f t="shared" ref="E589:E623" si="30">IF(D589&lt;&gt;"",IF(AND(B589&lt;&gt;"",C589&lt;&gt;""),"","ERR"),"")</f>
        <v/>
      </c>
      <c r="F589" s="86" t="s">
        <v>101</v>
      </c>
      <c r="G589" s="87" t="s">
        <v>102</v>
      </c>
      <c r="H589" s="88" t="s">
        <v>103</v>
      </c>
      <c r="I589" s="89" t="s">
        <v>93</v>
      </c>
      <c r="J589" s="90" t="s">
        <v>91</v>
      </c>
      <c r="K589" s="180"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Aviso legal</v>
      </c>
      <c r="C590" s="85" t="str" cm="1">
        <f t="array" ref="C590">IFERROR(INDEX('03.Muestra'!$F$8:$F$42,SMALL(IF("Página Web"='03.Muestra'!$D$8:$D$42,ROW('03.Muestra'!$F$8:$F$42)-MIN(ROW('03.Muestra'!$D$8:$D$42))+1,""),ROW()-588)),"")</f>
        <v>https://www.comunidad.madrid/transparencia/aviso-legal</v>
      </c>
      <c r="D590" s="99" t="s">
        <v>103</v>
      </c>
      <c r="E590" s="79" t="str">
        <f t="shared" si="30"/>
        <v/>
      </c>
      <c r="F590" s="91">
        <f ca="1">COUNTIF($D589:INDIRECT("$D" &amp;  SUM(ROW()-1,'03.Muestra'!$D$45)-1),F589)</f>
        <v>0</v>
      </c>
      <c r="G590" s="91">
        <f ca="1">COUNTIF($D589:INDIRECT("$D" &amp;  SUM(ROW()-1,'03.Muestra'!$D$45)-1),G589)</f>
        <v>0</v>
      </c>
      <c r="H590" s="91">
        <f ca="1">COUNTIF($D589:INDIRECT("$D" &amp;  SUM(ROW()-1,'03.Muestra'!$D$45)-1),H589)</f>
        <v>14</v>
      </c>
      <c r="I590" s="91">
        <f ca="1">COUNTIF($D589:INDIRECT("$D" &amp;  SUM(ROW()-1,'03.Muestra'!$D$45)-1),I589)</f>
        <v>0</v>
      </c>
      <c r="J590" s="91">
        <f ca="1">COUNTIF($D589:INDIRECT("$D" &amp;  SUM(ROW()-1,'03.Muestra'!$D$45)-1),J589)</f>
        <v>0</v>
      </c>
      <c r="K590" s="181">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Accesibilidad</v>
      </c>
      <c r="C591" s="85" t="str" cm="1">
        <f t="array" ref="C591">IFERROR(INDEX('03.Muestra'!$F$8:$F$42,SMALL(IF("Página Web"='03.Muestra'!$D$8:$D$42,ROW('03.Muestra'!$F$8:$F$42)-MIN(ROW('03.Muestra'!$D$8:$D$42))+1,""),ROW()-588)),"")</f>
        <v>https://www.comunidad.madrid/transparencia/declaracion-accesibilidad</v>
      </c>
      <c r="D591" s="99" t="s">
        <v>103</v>
      </c>
      <c r="E591" s="79" t="str">
        <f t="shared" si="30"/>
        <v/>
      </c>
      <c r="G591" s="18"/>
      <c r="H591" s="18"/>
      <c r="I591" s="18"/>
      <c r="J591" s="18"/>
      <c r="K591" s="177"/>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Tranparencia</v>
      </c>
      <c r="C592" s="85" t="str" cm="1">
        <f t="array" ref="C592">IFERROR(INDEX('03.Muestra'!$F$8:$F$42,SMALL(IF("Página Web"='03.Muestra'!$D$8:$D$42,ROW('03.Muestra'!$F$8:$F$42)-MIN(ROW('03.Muestra'!$D$8:$D$42))+1,""),ROW()-588)),"")</f>
        <v>https://www.comunidad.madrid/transparencia/que-es-transparencia</v>
      </c>
      <c r="D592" s="99" t="s">
        <v>103</v>
      </c>
      <c r="E592" s="79" t="str">
        <f t="shared" si="30"/>
        <v/>
      </c>
      <c r="G592" s="18"/>
      <c r="H592" s="18"/>
      <c r="I592" s="18"/>
      <c r="J592" s="18"/>
      <c r="K592" s="177"/>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Organización</v>
      </c>
      <c r="C593" s="85" t="str" cm="1">
        <f t="array" ref="C593">IFERROR(INDEX('03.Muestra'!$F$8:$F$42,SMALL(IF("Página Web"='03.Muestra'!$D$8:$D$42,ROW('03.Muestra'!$F$8:$F$42)-MIN(ROW('03.Muestra'!$D$8:$D$42))+1,""),ROW()-588)),"")</f>
        <v>https://www.comunidad.madrid/transparencia/organizacion-recursos/organizacion</v>
      </c>
      <c r="D593" s="99" t="s">
        <v>103</v>
      </c>
      <c r="E593" s="79" t="str">
        <f t="shared" si="30"/>
        <v/>
      </c>
      <c r="G593" s="18"/>
      <c r="H593" s="18"/>
      <c r="I593" s="18"/>
      <c r="J593" s="18"/>
      <c r="K593" s="177"/>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Quejas</v>
      </c>
      <c r="C594" s="85" t="str" cm="1">
        <f t="array" ref="C594">IFERROR(INDEX('03.Muestra'!$F$8:$F$42,SMALL(IF("Página Web"='03.Muestra'!$D$8:$D$42,ROW('03.Muestra'!$F$8:$F$42)-MIN(ROW('03.Muestra'!$D$8:$D$42))+1,""),ROW()-588)),"")</f>
        <v>https://www.comunidad.madrid/transparencia/quejas-y-reclamaciones</v>
      </c>
      <c r="D594" s="99" t="s">
        <v>103</v>
      </c>
      <c r="E594" s="79" t="str">
        <f t="shared" si="30"/>
        <v/>
      </c>
      <c r="G594" s="18"/>
      <c r="H594" s="18"/>
      <c r="I594" s="18"/>
      <c r="J594" s="18"/>
      <c r="K594" s="177"/>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Contratos</v>
      </c>
      <c r="C595" s="85" t="str" cm="1">
        <f t="array" ref="C595">IFERROR(INDEX('03.Muestra'!$F$8:$F$42,SMALL(IF("Página Web"='03.Muestra'!$D$8:$D$42,ROW('03.Muestra'!$F$8:$F$42)-MIN(ROW('03.Muestra'!$D$8:$D$42))+1,""),ROW()-588)),"")</f>
        <v>https://www.comunidad.madrid/transparencia/contratos</v>
      </c>
      <c r="D595" s="99" t="s">
        <v>103</v>
      </c>
      <c r="E595" s="79" t="str">
        <f t="shared" si="30"/>
        <v/>
      </c>
      <c r="F595" s="18"/>
      <c r="G595" s="18"/>
      <c r="H595" s="18"/>
      <c r="I595" s="18"/>
      <c r="J595" s="18"/>
      <c r="K595" s="177"/>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Consulta</v>
      </c>
      <c r="C596" s="85" t="str" cm="1">
        <f t="array" ref="C596">IFERROR(INDEX('03.Muestra'!$F$8:$F$42,SMALL(IF("Página Web"='03.Muestra'!$D$8:$D$42,ROW('03.Muestra'!$F$8:$F$42)-MIN(ROW('03.Muestra'!$D$8:$D$42))+1,""),ROW()-588)),"")</f>
        <v>https://www.comunidad.madrid/transparencia/normativa-planificacion/consulta-publica</v>
      </c>
      <c r="D596" s="99" t="s">
        <v>103</v>
      </c>
      <c r="E596" s="79" t="str">
        <f t="shared" si="30"/>
        <v/>
      </c>
      <c r="F596" s="18"/>
      <c r="G596" s="18"/>
      <c r="H596" s="18"/>
      <c r="I596" s="18"/>
      <c r="J596" s="18"/>
      <c r="K596" s="177"/>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Proyecto</v>
      </c>
      <c r="C597" s="85" t="str" cm="1">
        <f t="array" ref="C597">IFERROR(INDEX('03.Muestra'!$F$8:$F$42,SMALL(IF("Página Web"='03.Muestra'!$D$8:$D$42,ROW('03.Muestra'!$F$8:$F$42)-MIN(ROW('03.Muestra'!$D$8:$D$42))+1,""),ROW()-588)),"")</f>
        <v>https://www.comunidad.madrid/transparencia/proyecto-orden-que-se-crea-comision-farmacia-y-productos-sanitarios-cm-y-se-establece-su-composicion</v>
      </c>
      <c r="D597" s="99" t="s">
        <v>103</v>
      </c>
      <c r="E597" s="79" t="str">
        <f t="shared" si="30"/>
        <v/>
      </c>
      <c r="F597" s="18"/>
      <c r="G597" s="18"/>
      <c r="H597" s="18"/>
      <c r="I597" s="18"/>
      <c r="J597" s="18"/>
      <c r="K597" s="177"/>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Planes y Programas</v>
      </c>
      <c r="C598" s="85" t="str" cm="1">
        <f t="array" ref="C598">IFERROR(INDEX('03.Muestra'!$F$8:$F$42,SMALL(IF("Página Web"='03.Muestra'!$D$8:$D$42,ROW('03.Muestra'!$F$8:$F$42)-MIN(ROW('03.Muestra'!$D$8:$D$42))+1,""),ROW()-588)),"")</f>
        <v>https://www.comunidad.madrid/transparencia/normativa-planificacion/planes-programas</v>
      </c>
      <c r="D598" s="99" t="s">
        <v>103</v>
      </c>
      <c r="E598" s="79" t="str">
        <f t="shared" si="30"/>
        <v/>
      </c>
      <c r="F598" s="18"/>
      <c r="G598" s="18"/>
      <c r="H598" s="18"/>
      <c r="I598" s="18"/>
      <c r="J598" s="18"/>
      <c r="K598" s="177"/>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Estrategia</v>
      </c>
      <c r="C599" s="85" t="str" cm="1">
        <f t="array" ref="C599">IFERROR(INDEX('03.Muestra'!$F$8:$F$42,SMALL(IF("Página Web"='03.Muestra'!$D$8:$D$42,ROW('03.Muestra'!$F$8:$F$42)-MIN(ROW('03.Muestra'!$D$8:$D$42))+1,""),ROW()-588)),"")</f>
        <v>https://www.comunidad.madrid/transparencia/informacion-institucional/planes-programas/estrategia-seguridad-del-paciente-del-servicio-madrileno</v>
      </c>
      <c r="D599" s="99" t="s">
        <v>103</v>
      </c>
      <c r="E599" s="79" t="str">
        <f t="shared" si="30"/>
        <v/>
      </c>
      <c r="F599" s="18"/>
      <c r="G599" s="18"/>
      <c r="H599" s="18"/>
      <c r="I599" s="18"/>
      <c r="J599" s="18"/>
      <c r="K599" s="177"/>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Huella</v>
      </c>
      <c r="C600" s="85" t="str" cm="1">
        <f t="array" ref="C600">IFERROR(INDEX('03.Muestra'!$F$8:$F$42,SMALL(IF("Página Web"='03.Muestra'!$D$8:$D$42,ROW('03.Muestra'!$F$8:$F$42)-MIN(ROW('03.Muestra'!$D$8:$D$42))+1,""),ROW()-588)),"")</f>
        <v>https://www.comunidad.madrid/transparencia/normativa-planificacion/huella-normativa</v>
      </c>
      <c r="D600" s="99" t="s">
        <v>103</v>
      </c>
      <c r="E600" s="79" t="str">
        <f t="shared" si="30"/>
        <v/>
      </c>
      <c r="F600" s="18"/>
      <c r="G600" s="18"/>
      <c r="H600" s="18"/>
      <c r="I600" s="18"/>
      <c r="J600" s="18"/>
      <c r="K600" s="177"/>
      <c r="L600" s="18"/>
      <c r="M600" s="18"/>
      <c r="N600" s="18"/>
      <c r="O600" s="18"/>
      <c r="P600" s="18"/>
      <c r="Q600" s="18"/>
      <c r="R600" s="18"/>
      <c r="S600" s="18"/>
      <c r="T600" s="18"/>
      <c r="U600" s="18"/>
      <c r="V600" s="18"/>
      <c r="W600" s="18"/>
      <c r="X600" s="18"/>
      <c r="Y600" s="18"/>
    </row>
    <row r="601" spans="1:25" ht="14.15"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Decreto</v>
      </c>
      <c r="C601" s="85" t="str" cm="1">
        <f t="array" ref="C601">IFERROR(INDEX('03.Muestra'!$F$8:$F$42,SMALL(IF("Página Web"='03.Muestra'!$D$8:$D$42,ROW('03.Muestra'!$F$8:$F$42)-MIN(ROW('03.Muestra'!$D$8:$D$42))+1,""),ROW()-588)),"")</f>
        <v>https://www.comunidad.madrid/transparencia/decreto-del-consejo-gobierno-que-se-establece-estructura-organica-consejeria-familia-juventud-y</v>
      </c>
      <c r="D601" s="99" t="s">
        <v>103</v>
      </c>
      <c r="E601" s="79" t="str">
        <f t="shared" si="30"/>
        <v/>
      </c>
      <c r="F601" s="18"/>
      <c r="G601" s="18"/>
      <c r="H601" s="18"/>
      <c r="I601" s="18"/>
      <c r="J601" s="18"/>
      <c r="K601" s="177"/>
      <c r="L601" s="18"/>
      <c r="M601" s="18"/>
      <c r="N601" s="18"/>
      <c r="O601" s="18"/>
      <c r="P601" s="18"/>
      <c r="Q601" s="18"/>
      <c r="R601" s="18"/>
      <c r="S601" s="18"/>
      <c r="T601" s="18"/>
      <c r="U601" s="18"/>
      <c r="V601" s="18"/>
      <c r="W601" s="18"/>
      <c r="X601" s="18"/>
      <c r="Y601" s="18"/>
    </row>
    <row r="602" spans="1:25" ht="14.15"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Entidades Locales</v>
      </c>
      <c r="C602" s="85" t="str" cm="1">
        <f t="array" ref="C602">IFERROR(INDEX('03.Muestra'!$F$8:$F$42,SMALL(IF("Página Web"='03.Muestra'!$D$8:$D$42,ROW('03.Muestra'!$F$8:$F$42)-MIN(ROW('03.Muestra'!$D$8:$D$42))+1,""),ROW()-588)),"")</f>
        <v>https://www.comunidad.madrid/transparencia/entidades-locales</v>
      </c>
      <c r="D602" s="99" t="s">
        <v>103</v>
      </c>
      <c r="E602" s="79" t="str">
        <f t="shared" si="30"/>
        <v/>
      </c>
      <c r="F602" s="18"/>
      <c r="G602" s="18"/>
      <c r="H602" s="18"/>
      <c r="I602" s="18"/>
      <c r="J602" s="18"/>
      <c r="K602" s="177"/>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ref="D603:D623" si="31">IF(AND(B603&lt;&gt;"",C603&lt;&gt;""),"N/T","")</f>
        <v/>
      </c>
      <c r="E603" s="79" t="str">
        <f t="shared" si="30"/>
        <v/>
      </c>
      <c r="F603" s="18"/>
      <c r="G603" s="18"/>
      <c r="H603" s="18"/>
      <c r="I603" s="18"/>
      <c r="J603" s="18"/>
      <c r="K603" s="177"/>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7"/>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7"/>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7"/>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7"/>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7"/>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7"/>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7"/>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7"/>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7"/>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7"/>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7"/>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7"/>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7"/>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7"/>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7"/>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7"/>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7"/>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7"/>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7"/>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7"/>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7"/>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7"/>
      <c r="L625" s="18"/>
      <c r="M625" s="18"/>
      <c r="N625" s="18"/>
      <c r="O625" s="18"/>
      <c r="P625" s="18"/>
      <c r="Q625" s="18"/>
      <c r="R625" s="18"/>
      <c r="S625" s="18"/>
      <c r="T625" s="18"/>
      <c r="U625" s="18"/>
      <c r="V625" s="18"/>
      <c r="W625" s="18"/>
      <c r="X625" s="18"/>
      <c r="Y625" s="18"/>
    </row>
    <row r="626" spans="1:25" ht="32.25" customHeight="1">
      <c r="A626" s="172" t="s">
        <v>98</v>
      </c>
      <c r="B626" s="23" t="s">
        <v>90</v>
      </c>
      <c r="C626" s="24" t="s">
        <v>127</v>
      </c>
      <c r="D626" s="25" t="s">
        <v>100</v>
      </c>
      <c r="E626" s="93"/>
      <c r="K626" s="177"/>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https://www.comunidad.madrid/transparencia/</v>
      </c>
      <c r="D627" s="99" t="s">
        <v>103</v>
      </c>
      <c r="E627" s="79" t="str">
        <f t="shared" ref="E627:E661" si="32">IF(D627&lt;&gt;"",IF(AND(B627&lt;&gt;"",C627&lt;&gt;""),"","ERR"),"")</f>
        <v/>
      </c>
      <c r="F627" s="86" t="s">
        <v>101</v>
      </c>
      <c r="G627" s="87" t="s">
        <v>102</v>
      </c>
      <c r="H627" s="88" t="s">
        <v>103</v>
      </c>
      <c r="I627" s="89" t="s">
        <v>93</v>
      </c>
      <c r="J627" s="90" t="s">
        <v>91</v>
      </c>
      <c r="K627" s="180"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Aviso legal</v>
      </c>
      <c r="C628" s="85" t="str" cm="1">
        <f t="array" ref="C628">IFERROR(INDEX('03.Muestra'!$F$8:$F$42,SMALL(IF("Página Web"='03.Muestra'!$D$8:$D$42,ROW('03.Muestra'!$F$8:$F$42)-MIN(ROW('03.Muestra'!$D$8:$D$42))+1,""),ROW()-626)),"")</f>
        <v>https://www.comunidad.madrid/transparencia/aviso-legal</v>
      </c>
      <c r="D628" s="99" t="s">
        <v>103</v>
      </c>
      <c r="E628" s="79" t="str">
        <f t="shared" si="32"/>
        <v/>
      </c>
      <c r="F628" s="91">
        <f ca="1">COUNTIF($D627:INDIRECT("$D" &amp;  SUM(ROW()-1,'03.Muestra'!$D$45)-1),F627)</f>
        <v>0</v>
      </c>
      <c r="G628" s="91">
        <f ca="1">COUNTIF($D627:INDIRECT("$D" &amp;  SUM(ROW()-1,'03.Muestra'!$D$45)-1),G627)</f>
        <v>0</v>
      </c>
      <c r="H628" s="91">
        <f ca="1">COUNTIF($D627:INDIRECT("$D" &amp;  SUM(ROW()-1,'03.Muestra'!$D$45)-1),H627)</f>
        <v>14</v>
      </c>
      <c r="I628" s="91">
        <f ca="1">COUNTIF($D627:INDIRECT("$D" &amp;  SUM(ROW()-1,'03.Muestra'!$D$45)-1),I627)</f>
        <v>0</v>
      </c>
      <c r="J628" s="91">
        <f ca="1">COUNTIF($D627:INDIRECT("$D" &amp;  SUM(ROW()-1,'03.Muestra'!$D$45)-1),J627)</f>
        <v>0</v>
      </c>
      <c r="K628" s="181">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Accesibilidad</v>
      </c>
      <c r="C629" s="85" t="str" cm="1">
        <f t="array" ref="C629">IFERROR(INDEX('03.Muestra'!$F$8:$F$42,SMALL(IF("Página Web"='03.Muestra'!$D$8:$D$42,ROW('03.Muestra'!$F$8:$F$42)-MIN(ROW('03.Muestra'!$D$8:$D$42))+1,""),ROW()-626)),"")</f>
        <v>https://www.comunidad.madrid/transparencia/declaracion-accesibilidad</v>
      </c>
      <c r="D629" s="99" t="s">
        <v>103</v>
      </c>
      <c r="E629" s="79" t="str">
        <f t="shared" si="32"/>
        <v/>
      </c>
      <c r="G629" s="18"/>
      <c r="H629" s="18"/>
      <c r="I629" s="18"/>
      <c r="J629" s="18"/>
      <c r="K629" s="177"/>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Tranparencia</v>
      </c>
      <c r="C630" s="85" t="str" cm="1">
        <f t="array" ref="C630">IFERROR(INDEX('03.Muestra'!$F$8:$F$42,SMALL(IF("Página Web"='03.Muestra'!$D$8:$D$42,ROW('03.Muestra'!$F$8:$F$42)-MIN(ROW('03.Muestra'!$D$8:$D$42))+1,""),ROW()-626)),"")</f>
        <v>https://www.comunidad.madrid/transparencia/que-es-transparencia</v>
      </c>
      <c r="D630" s="99" t="s">
        <v>103</v>
      </c>
      <c r="E630" s="79" t="str">
        <f t="shared" si="32"/>
        <v/>
      </c>
      <c r="G630" s="18"/>
      <c r="H630" s="18"/>
      <c r="I630" s="18"/>
      <c r="J630" s="18"/>
      <c r="K630" s="177"/>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Organización</v>
      </c>
      <c r="C631" s="85" t="str" cm="1">
        <f t="array" ref="C631">IFERROR(INDEX('03.Muestra'!$F$8:$F$42,SMALL(IF("Página Web"='03.Muestra'!$D$8:$D$42,ROW('03.Muestra'!$F$8:$F$42)-MIN(ROW('03.Muestra'!$D$8:$D$42))+1,""),ROW()-626)),"")</f>
        <v>https://www.comunidad.madrid/transparencia/organizacion-recursos/organizacion</v>
      </c>
      <c r="D631" s="99" t="s">
        <v>103</v>
      </c>
      <c r="E631" s="79" t="str">
        <f t="shared" si="32"/>
        <v/>
      </c>
      <c r="G631" s="18"/>
      <c r="H631" s="18"/>
      <c r="I631" s="18"/>
      <c r="J631" s="18"/>
      <c r="K631" s="177"/>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Quejas</v>
      </c>
      <c r="C632" s="85" t="str" cm="1">
        <f t="array" ref="C632">IFERROR(INDEX('03.Muestra'!$F$8:$F$42,SMALL(IF("Página Web"='03.Muestra'!$D$8:$D$42,ROW('03.Muestra'!$F$8:$F$42)-MIN(ROW('03.Muestra'!$D$8:$D$42))+1,""),ROW()-626)),"")</f>
        <v>https://www.comunidad.madrid/transparencia/quejas-y-reclamaciones</v>
      </c>
      <c r="D632" s="99" t="s">
        <v>103</v>
      </c>
      <c r="E632" s="79" t="str">
        <f t="shared" si="32"/>
        <v/>
      </c>
      <c r="G632" s="18"/>
      <c r="H632" s="18"/>
      <c r="I632" s="18"/>
      <c r="J632" s="18"/>
      <c r="K632" s="177"/>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Contratos</v>
      </c>
      <c r="C633" s="85" t="str" cm="1">
        <f t="array" ref="C633">IFERROR(INDEX('03.Muestra'!$F$8:$F$42,SMALL(IF("Página Web"='03.Muestra'!$D$8:$D$42,ROW('03.Muestra'!$F$8:$F$42)-MIN(ROW('03.Muestra'!$D$8:$D$42))+1,""),ROW()-626)),"")</f>
        <v>https://www.comunidad.madrid/transparencia/contratos</v>
      </c>
      <c r="D633" s="99" t="s">
        <v>103</v>
      </c>
      <c r="E633" s="79" t="str">
        <f t="shared" si="32"/>
        <v/>
      </c>
      <c r="F633" s="18"/>
      <c r="G633" s="18"/>
      <c r="H633" s="18"/>
      <c r="I633" s="18"/>
      <c r="J633" s="18"/>
      <c r="K633" s="177"/>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Consulta</v>
      </c>
      <c r="C634" s="85" t="str" cm="1">
        <f t="array" ref="C634">IFERROR(INDEX('03.Muestra'!$F$8:$F$42,SMALL(IF("Página Web"='03.Muestra'!$D$8:$D$42,ROW('03.Muestra'!$F$8:$F$42)-MIN(ROW('03.Muestra'!$D$8:$D$42))+1,""),ROW()-626)),"")</f>
        <v>https://www.comunidad.madrid/transparencia/normativa-planificacion/consulta-publica</v>
      </c>
      <c r="D634" s="99" t="s">
        <v>103</v>
      </c>
      <c r="E634" s="79" t="str">
        <f t="shared" si="32"/>
        <v/>
      </c>
      <c r="F634" s="18"/>
      <c r="G634" s="18"/>
      <c r="H634" s="18"/>
      <c r="I634" s="18"/>
      <c r="J634" s="18"/>
      <c r="K634" s="177"/>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Proyecto</v>
      </c>
      <c r="C635" s="85" t="str" cm="1">
        <f t="array" ref="C635">IFERROR(INDEX('03.Muestra'!$F$8:$F$42,SMALL(IF("Página Web"='03.Muestra'!$D$8:$D$42,ROW('03.Muestra'!$F$8:$F$42)-MIN(ROW('03.Muestra'!$D$8:$D$42))+1,""),ROW()-626)),"")</f>
        <v>https://www.comunidad.madrid/transparencia/proyecto-orden-que-se-crea-comision-farmacia-y-productos-sanitarios-cm-y-se-establece-su-composicion</v>
      </c>
      <c r="D635" s="99" t="s">
        <v>103</v>
      </c>
      <c r="E635" s="79" t="str">
        <f t="shared" si="32"/>
        <v/>
      </c>
      <c r="F635" s="18"/>
      <c r="G635" s="18"/>
      <c r="H635" s="18"/>
      <c r="I635" s="18"/>
      <c r="J635" s="18"/>
      <c r="K635" s="177"/>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Planes y Programas</v>
      </c>
      <c r="C636" s="85" t="str" cm="1">
        <f t="array" ref="C636">IFERROR(INDEX('03.Muestra'!$F$8:$F$42,SMALL(IF("Página Web"='03.Muestra'!$D$8:$D$42,ROW('03.Muestra'!$F$8:$F$42)-MIN(ROW('03.Muestra'!$D$8:$D$42))+1,""),ROW()-626)),"")</f>
        <v>https://www.comunidad.madrid/transparencia/normativa-planificacion/planes-programas</v>
      </c>
      <c r="D636" s="99" t="s">
        <v>103</v>
      </c>
      <c r="E636" s="79" t="str">
        <f t="shared" si="32"/>
        <v/>
      </c>
      <c r="F636" s="18"/>
      <c r="G636" s="18"/>
      <c r="H636" s="18"/>
      <c r="I636" s="18"/>
      <c r="J636" s="18"/>
      <c r="K636" s="177"/>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Estrategia</v>
      </c>
      <c r="C637" s="85" t="str" cm="1">
        <f t="array" ref="C637">IFERROR(INDEX('03.Muestra'!$F$8:$F$42,SMALL(IF("Página Web"='03.Muestra'!$D$8:$D$42,ROW('03.Muestra'!$F$8:$F$42)-MIN(ROW('03.Muestra'!$D$8:$D$42))+1,""),ROW()-626)),"")</f>
        <v>https://www.comunidad.madrid/transparencia/informacion-institucional/planes-programas/estrategia-seguridad-del-paciente-del-servicio-madrileno</v>
      </c>
      <c r="D637" s="99" t="s">
        <v>103</v>
      </c>
      <c r="E637" s="79" t="str">
        <f t="shared" si="32"/>
        <v/>
      </c>
      <c r="F637" s="18"/>
      <c r="G637" s="18"/>
      <c r="H637" s="18"/>
      <c r="I637" s="18"/>
      <c r="J637" s="18"/>
      <c r="K637" s="177"/>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Huella</v>
      </c>
      <c r="C638" s="85" t="str" cm="1">
        <f t="array" ref="C638">IFERROR(INDEX('03.Muestra'!$F$8:$F$42,SMALL(IF("Página Web"='03.Muestra'!$D$8:$D$42,ROW('03.Muestra'!$F$8:$F$42)-MIN(ROW('03.Muestra'!$D$8:$D$42))+1,""),ROW()-626)),"")</f>
        <v>https://www.comunidad.madrid/transparencia/normativa-planificacion/huella-normativa</v>
      </c>
      <c r="D638" s="99" t="s">
        <v>103</v>
      </c>
      <c r="E638" s="79" t="str">
        <f t="shared" si="32"/>
        <v/>
      </c>
      <c r="F638" s="18"/>
      <c r="G638" s="18"/>
      <c r="H638" s="18"/>
      <c r="I638" s="18"/>
      <c r="J638" s="18"/>
      <c r="K638" s="177"/>
      <c r="L638" s="18"/>
      <c r="M638" s="18"/>
      <c r="N638" s="18"/>
      <c r="O638" s="18"/>
      <c r="P638" s="18"/>
      <c r="Q638" s="18"/>
      <c r="R638" s="18"/>
      <c r="S638" s="18"/>
      <c r="T638" s="18"/>
      <c r="U638" s="18"/>
      <c r="V638" s="18"/>
      <c r="W638" s="18"/>
      <c r="X638" s="18"/>
      <c r="Y638" s="18"/>
    </row>
    <row r="639" spans="1:25" ht="14.15"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Decreto</v>
      </c>
      <c r="C639" s="85" t="str" cm="1">
        <f t="array" ref="C639">IFERROR(INDEX('03.Muestra'!$F$8:$F$42,SMALL(IF("Página Web"='03.Muestra'!$D$8:$D$42,ROW('03.Muestra'!$F$8:$F$42)-MIN(ROW('03.Muestra'!$D$8:$D$42))+1,""),ROW()-626)),"")</f>
        <v>https://www.comunidad.madrid/transparencia/decreto-del-consejo-gobierno-que-se-establece-estructura-organica-consejeria-familia-juventud-y</v>
      </c>
      <c r="D639" s="99" t="s">
        <v>103</v>
      </c>
      <c r="E639" s="79" t="str">
        <f t="shared" si="32"/>
        <v/>
      </c>
      <c r="F639" s="18"/>
      <c r="G639" s="18"/>
      <c r="H639" s="18"/>
      <c r="I639" s="18"/>
      <c r="J639" s="18"/>
      <c r="K639" s="177"/>
      <c r="L639" s="18"/>
      <c r="M639" s="18"/>
      <c r="N639" s="18"/>
      <c r="O639" s="18"/>
      <c r="P639" s="18"/>
      <c r="Q639" s="18"/>
      <c r="R639" s="18"/>
      <c r="S639" s="18"/>
      <c r="T639" s="18"/>
      <c r="U639" s="18"/>
      <c r="V639" s="18"/>
      <c r="W639" s="18"/>
      <c r="X639" s="18"/>
      <c r="Y639" s="18"/>
    </row>
    <row r="640" spans="1:25" ht="14.15"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Entidades Locales</v>
      </c>
      <c r="C640" s="85" t="str" cm="1">
        <f t="array" ref="C640">IFERROR(INDEX('03.Muestra'!$F$8:$F$42,SMALL(IF("Página Web"='03.Muestra'!$D$8:$D$42,ROW('03.Muestra'!$F$8:$F$42)-MIN(ROW('03.Muestra'!$D$8:$D$42))+1,""),ROW()-626)),"")</f>
        <v>https://www.comunidad.madrid/transparencia/entidades-locales</v>
      </c>
      <c r="D640" s="99" t="s">
        <v>103</v>
      </c>
      <c r="E640" s="79" t="str">
        <f t="shared" si="32"/>
        <v/>
      </c>
      <c r="F640" s="18"/>
      <c r="G640" s="18"/>
      <c r="H640" s="18"/>
      <c r="I640" s="18"/>
      <c r="J640" s="18"/>
      <c r="K640" s="177"/>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ref="D641:D661" si="33">IF(AND(B641&lt;&gt;"",C641&lt;&gt;""),"N/T","")</f>
        <v/>
      </c>
      <c r="E641" s="79" t="str">
        <f t="shared" si="32"/>
        <v/>
      </c>
      <c r="F641" s="18"/>
      <c r="G641" s="18"/>
      <c r="H641" s="18"/>
      <c r="I641" s="18"/>
      <c r="J641" s="18"/>
      <c r="K641" s="177"/>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7"/>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7"/>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7"/>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7"/>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7"/>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7"/>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7"/>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7"/>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7"/>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7"/>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7"/>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7"/>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7"/>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7"/>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7"/>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7"/>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7"/>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7"/>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7"/>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7"/>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7"/>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7"/>
      <c r="L663" s="18"/>
      <c r="M663" s="18"/>
      <c r="N663" s="18"/>
      <c r="O663" s="18"/>
      <c r="P663" s="18"/>
      <c r="Q663" s="18"/>
      <c r="R663" s="18"/>
      <c r="S663" s="18"/>
      <c r="T663" s="18"/>
      <c r="U663" s="18"/>
      <c r="V663" s="18"/>
      <c r="W663" s="18"/>
      <c r="X663" s="18"/>
      <c r="Y663" s="18"/>
    </row>
    <row r="664" spans="1:25" ht="32.25" customHeight="1">
      <c r="A664" s="172" t="s">
        <v>98</v>
      </c>
      <c r="B664" s="23" t="s">
        <v>90</v>
      </c>
      <c r="C664" s="171" t="s">
        <v>128</v>
      </c>
      <c r="D664" s="25" t="s">
        <v>100</v>
      </c>
      <c r="E664" s="93"/>
      <c r="K664" s="177"/>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https://www.comunidad.madrid/transparencia/</v>
      </c>
      <c r="D665" s="99" t="s">
        <v>103</v>
      </c>
      <c r="E665" s="79" t="str">
        <f t="shared" ref="E665:E699" si="34">IF(D665&lt;&gt;"",IF(AND(B665&lt;&gt;"",C665&lt;&gt;""),"","ERR"),"")</f>
        <v/>
      </c>
      <c r="F665" s="86" t="s">
        <v>101</v>
      </c>
      <c r="G665" s="87" t="s">
        <v>102</v>
      </c>
      <c r="H665" s="88" t="s">
        <v>103</v>
      </c>
      <c r="I665" s="89" t="s">
        <v>93</v>
      </c>
      <c r="J665" s="90" t="s">
        <v>91</v>
      </c>
      <c r="K665" s="180"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Aviso legal</v>
      </c>
      <c r="C666" s="85" t="str" cm="1">
        <f t="array" ref="C666">IFERROR(INDEX('03.Muestra'!$F$8:$F$42,SMALL(IF("Página Web"='03.Muestra'!$D$8:$D$42,ROW('03.Muestra'!$F$8:$F$42)-MIN(ROW('03.Muestra'!$D$8:$D$42))+1,""),ROW()-664)),"")</f>
        <v>https://www.comunidad.madrid/transparencia/aviso-legal</v>
      </c>
      <c r="D666" s="99" t="s">
        <v>103</v>
      </c>
      <c r="E666" s="79" t="str">
        <f t="shared" si="34"/>
        <v/>
      </c>
      <c r="F666" s="91">
        <f ca="1">COUNTIF($D665:INDIRECT("$D" &amp;  SUM(ROW()-1,'03.Muestra'!$D$45)-1),F665)</f>
        <v>0</v>
      </c>
      <c r="G666" s="91">
        <f ca="1">COUNTIF($D665:INDIRECT("$D" &amp;  SUM(ROW()-1,'03.Muestra'!$D$45)-1),G665)</f>
        <v>0</v>
      </c>
      <c r="H666" s="91">
        <f ca="1">COUNTIF($D665:INDIRECT("$D" &amp;  SUM(ROW()-1,'03.Muestra'!$D$45)-1),H665)</f>
        <v>14</v>
      </c>
      <c r="I666" s="91">
        <f ca="1">COUNTIF($D665:INDIRECT("$D" &amp;  SUM(ROW()-1,'03.Muestra'!$D$45)-1),I665)</f>
        <v>0</v>
      </c>
      <c r="J666" s="91">
        <f ca="1">COUNTIF($D665:INDIRECT("$D" &amp;  SUM(ROW()-1,'03.Muestra'!$D$45)-1),J665)</f>
        <v>0</v>
      </c>
      <c r="K666" s="181">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Accesibilidad</v>
      </c>
      <c r="C667" s="85" t="str" cm="1">
        <f t="array" ref="C667">IFERROR(INDEX('03.Muestra'!$F$8:$F$42,SMALL(IF("Página Web"='03.Muestra'!$D$8:$D$42,ROW('03.Muestra'!$F$8:$F$42)-MIN(ROW('03.Muestra'!$D$8:$D$42))+1,""),ROW()-664)),"")</f>
        <v>https://www.comunidad.madrid/transparencia/declaracion-accesibilidad</v>
      </c>
      <c r="D667" s="99" t="s">
        <v>103</v>
      </c>
      <c r="E667" s="79" t="str">
        <f t="shared" si="34"/>
        <v/>
      </c>
      <c r="G667" s="18"/>
      <c r="H667" s="18"/>
      <c r="I667" s="18"/>
      <c r="J667" s="18"/>
      <c r="K667" s="177"/>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Tranparencia</v>
      </c>
      <c r="C668" s="85" t="str" cm="1">
        <f t="array" ref="C668">IFERROR(INDEX('03.Muestra'!$F$8:$F$42,SMALL(IF("Página Web"='03.Muestra'!$D$8:$D$42,ROW('03.Muestra'!$F$8:$F$42)-MIN(ROW('03.Muestra'!$D$8:$D$42))+1,""),ROW()-664)),"")</f>
        <v>https://www.comunidad.madrid/transparencia/que-es-transparencia</v>
      </c>
      <c r="D668" s="99" t="s">
        <v>103</v>
      </c>
      <c r="E668" s="79" t="str">
        <f t="shared" si="34"/>
        <v/>
      </c>
      <c r="G668" s="18"/>
      <c r="H668" s="18"/>
      <c r="I668" s="18"/>
      <c r="J668" s="18"/>
      <c r="K668" s="177"/>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Organización</v>
      </c>
      <c r="C669" s="85" t="str" cm="1">
        <f t="array" ref="C669">IFERROR(INDEX('03.Muestra'!$F$8:$F$42,SMALL(IF("Página Web"='03.Muestra'!$D$8:$D$42,ROW('03.Muestra'!$F$8:$F$42)-MIN(ROW('03.Muestra'!$D$8:$D$42))+1,""),ROW()-664)),"")</f>
        <v>https://www.comunidad.madrid/transparencia/organizacion-recursos/organizacion</v>
      </c>
      <c r="D669" s="99" t="s">
        <v>103</v>
      </c>
      <c r="E669" s="79" t="str">
        <f t="shared" si="34"/>
        <v/>
      </c>
      <c r="G669" s="18"/>
      <c r="H669" s="18"/>
      <c r="I669" s="18"/>
      <c r="J669" s="18"/>
      <c r="K669" s="177"/>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Quejas</v>
      </c>
      <c r="C670" s="85" t="str" cm="1">
        <f t="array" ref="C670">IFERROR(INDEX('03.Muestra'!$F$8:$F$42,SMALL(IF("Página Web"='03.Muestra'!$D$8:$D$42,ROW('03.Muestra'!$F$8:$F$42)-MIN(ROW('03.Muestra'!$D$8:$D$42))+1,""),ROW()-664)),"")</f>
        <v>https://www.comunidad.madrid/transparencia/quejas-y-reclamaciones</v>
      </c>
      <c r="D670" s="99" t="s">
        <v>103</v>
      </c>
      <c r="E670" s="79" t="str">
        <f t="shared" si="34"/>
        <v/>
      </c>
      <c r="G670" s="18"/>
      <c r="H670" s="18"/>
      <c r="I670" s="18"/>
      <c r="J670" s="18"/>
      <c r="K670" s="177"/>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Contratos</v>
      </c>
      <c r="C671" s="85" t="str" cm="1">
        <f t="array" ref="C671">IFERROR(INDEX('03.Muestra'!$F$8:$F$42,SMALL(IF("Página Web"='03.Muestra'!$D$8:$D$42,ROW('03.Muestra'!$F$8:$F$42)-MIN(ROW('03.Muestra'!$D$8:$D$42))+1,""),ROW()-664)),"")</f>
        <v>https://www.comunidad.madrid/transparencia/contratos</v>
      </c>
      <c r="D671" s="99" t="s">
        <v>103</v>
      </c>
      <c r="E671" s="79" t="str">
        <f t="shared" si="34"/>
        <v/>
      </c>
      <c r="F671" s="18"/>
      <c r="G671" s="18"/>
      <c r="H671" s="18"/>
      <c r="I671" s="18"/>
      <c r="J671" s="18"/>
      <c r="K671" s="177"/>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Consulta</v>
      </c>
      <c r="C672" s="85" t="str" cm="1">
        <f t="array" ref="C672">IFERROR(INDEX('03.Muestra'!$F$8:$F$42,SMALL(IF("Página Web"='03.Muestra'!$D$8:$D$42,ROW('03.Muestra'!$F$8:$F$42)-MIN(ROW('03.Muestra'!$D$8:$D$42))+1,""),ROW()-664)),"")</f>
        <v>https://www.comunidad.madrid/transparencia/normativa-planificacion/consulta-publica</v>
      </c>
      <c r="D672" s="99" t="s">
        <v>103</v>
      </c>
      <c r="E672" s="79" t="str">
        <f t="shared" si="34"/>
        <v/>
      </c>
      <c r="F672" s="18"/>
      <c r="G672" s="18"/>
      <c r="H672" s="18"/>
      <c r="I672" s="18"/>
      <c r="J672" s="18"/>
      <c r="K672" s="177"/>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Proyecto</v>
      </c>
      <c r="C673" s="85" t="str" cm="1">
        <f t="array" ref="C673">IFERROR(INDEX('03.Muestra'!$F$8:$F$42,SMALL(IF("Página Web"='03.Muestra'!$D$8:$D$42,ROW('03.Muestra'!$F$8:$F$42)-MIN(ROW('03.Muestra'!$D$8:$D$42))+1,""),ROW()-664)),"")</f>
        <v>https://www.comunidad.madrid/transparencia/proyecto-orden-que-se-crea-comision-farmacia-y-productos-sanitarios-cm-y-se-establece-su-composicion</v>
      </c>
      <c r="D673" s="99" t="s">
        <v>103</v>
      </c>
      <c r="E673" s="79" t="str">
        <f t="shared" si="34"/>
        <v/>
      </c>
      <c r="F673" s="18"/>
      <c r="G673" s="18"/>
      <c r="H673" s="18"/>
      <c r="I673" s="18"/>
      <c r="J673" s="18"/>
      <c r="K673" s="177"/>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Planes y Programas</v>
      </c>
      <c r="C674" s="85" t="str" cm="1">
        <f t="array" ref="C674">IFERROR(INDEX('03.Muestra'!$F$8:$F$42,SMALL(IF("Página Web"='03.Muestra'!$D$8:$D$42,ROW('03.Muestra'!$F$8:$F$42)-MIN(ROW('03.Muestra'!$D$8:$D$42))+1,""),ROW()-664)),"")</f>
        <v>https://www.comunidad.madrid/transparencia/normativa-planificacion/planes-programas</v>
      </c>
      <c r="D674" s="99" t="s">
        <v>103</v>
      </c>
      <c r="E674" s="79" t="str">
        <f t="shared" si="34"/>
        <v/>
      </c>
      <c r="F674" s="18"/>
      <c r="G674" s="18"/>
      <c r="H674" s="18"/>
      <c r="I674" s="18"/>
      <c r="J674" s="18"/>
      <c r="K674" s="177"/>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Estrategia</v>
      </c>
      <c r="C675" s="85" t="str" cm="1">
        <f t="array" ref="C675">IFERROR(INDEX('03.Muestra'!$F$8:$F$42,SMALL(IF("Página Web"='03.Muestra'!$D$8:$D$42,ROW('03.Muestra'!$F$8:$F$42)-MIN(ROW('03.Muestra'!$D$8:$D$42))+1,""),ROW()-664)),"")</f>
        <v>https://www.comunidad.madrid/transparencia/informacion-institucional/planes-programas/estrategia-seguridad-del-paciente-del-servicio-madrileno</v>
      </c>
      <c r="D675" s="99" t="s">
        <v>103</v>
      </c>
      <c r="E675" s="79" t="str">
        <f t="shared" si="34"/>
        <v/>
      </c>
      <c r="F675" s="18"/>
      <c r="G675" s="18"/>
      <c r="H675" s="18"/>
      <c r="I675" s="18"/>
      <c r="J675" s="18"/>
      <c r="K675" s="177"/>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Huella</v>
      </c>
      <c r="C676" s="85" t="str" cm="1">
        <f t="array" ref="C676">IFERROR(INDEX('03.Muestra'!$F$8:$F$42,SMALL(IF("Página Web"='03.Muestra'!$D$8:$D$42,ROW('03.Muestra'!$F$8:$F$42)-MIN(ROW('03.Muestra'!$D$8:$D$42))+1,""),ROW()-664)),"")</f>
        <v>https://www.comunidad.madrid/transparencia/normativa-planificacion/huella-normativa</v>
      </c>
      <c r="D676" s="99" t="s">
        <v>103</v>
      </c>
      <c r="E676" s="79" t="str">
        <f t="shared" si="34"/>
        <v/>
      </c>
      <c r="F676" s="18"/>
      <c r="G676" s="18"/>
      <c r="H676" s="18"/>
      <c r="I676" s="18"/>
      <c r="J676" s="18"/>
      <c r="K676" s="177"/>
      <c r="L676" s="18"/>
      <c r="M676" s="18"/>
      <c r="N676" s="18"/>
      <c r="O676" s="18"/>
      <c r="P676" s="18"/>
      <c r="Q676" s="18"/>
      <c r="R676" s="18"/>
      <c r="S676" s="18"/>
      <c r="T676" s="18"/>
      <c r="U676" s="18"/>
      <c r="V676" s="18"/>
      <c r="W676" s="18"/>
      <c r="X676" s="18"/>
      <c r="Y676" s="18"/>
    </row>
    <row r="677" spans="1:25" ht="14.15"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Decreto</v>
      </c>
      <c r="C677" s="85" t="str" cm="1">
        <f t="array" ref="C677">IFERROR(INDEX('03.Muestra'!$F$8:$F$42,SMALL(IF("Página Web"='03.Muestra'!$D$8:$D$42,ROW('03.Muestra'!$F$8:$F$42)-MIN(ROW('03.Muestra'!$D$8:$D$42))+1,""),ROW()-664)),"")</f>
        <v>https://www.comunidad.madrid/transparencia/decreto-del-consejo-gobierno-que-se-establece-estructura-organica-consejeria-familia-juventud-y</v>
      </c>
      <c r="D677" s="99" t="s">
        <v>103</v>
      </c>
      <c r="E677" s="79" t="str">
        <f t="shared" si="34"/>
        <v/>
      </c>
      <c r="F677" s="18"/>
      <c r="G677" s="18"/>
      <c r="H677" s="18"/>
      <c r="I677" s="18"/>
      <c r="J677" s="18"/>
      <c r="K677" s="177"/>
      <c r="L677" s="18"/>
      <c r="M677" s="18"/>
      <c r="N677" s="18"/>
      <c r="O677" s="18"/>
      <c r="P677" s="18"/>
      <c r="Q677" s="18"/>
      <c r="R677" s="18"/>
      <c r="S677" s="18"/>
      <c r="T677" s="18"/>
      <c r="U677" s="18"/>
      <c r="V677" s="18"/>
      <c r="W677" s="18"/>
      <c r="X677" s="18"/>
      <c r="Y677" s="18"/>
    </row>
    <row r="678" spans="1:25" ht="14.15"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Entidades Locales</v>
      </c>
      <c r="C678" s="85" t="str" cm="1">
        <f t="array" ref="C678">IFERROR(INDEX('03.Muestra'!$F$8:$F$42,SMALL(IF("Página Web"='03.Muestra'!$D$8:$D$42,ROW('03.Muestra'!$F$8:$F$42)-MIN(ROW('03.Muestra'!$D$8:$D$42))+1,""),ROW()-664)),"")</f>
        <v>https://www.comunidad.madrid/transparencia/entidades-locales</v>
      </c>
      <c r="D678" s="99" t="s">
        <v>103</v>
      </c>
      <c r="E678" s="79" t="str">
        <f t="shared" si="34"/>
        <v/>
      </c>
      <c r="F678" s="18"/>
      <c r="G678" s="18"/>
      <c r="H678" s="18"/>
      <c r="I678" s="18"/>
      <c r="J678" s="18"/>
      <c r="K678" s="177"/>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ref="D679:D699" si="35">IF(AND(B679&lt;&gt;"",C679&lt;&gt;""),"N/T","")</f>
        <v/>
      </c>
      <c r="E679" s="79" t="str">
        <f t="shared" si="34"/>
        <v/>
      </c>
      <c r="F679" s="18"/>
      <c r="G679" s="18"/>
      <c r="H679" s="18"/>
      <c r="I679" s="18"/>
      <c r="J679" s="18"/>
      <c r="K679" s="177"/>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7"/>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7"/>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7"/>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7"/>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7"/>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7"/>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7"/>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7"/>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7"/>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7"/>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7"/>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7"/>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7"/>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7"/>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7"/>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7"/>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7"/>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7"/>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7"/>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7"/>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7"/>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7"/>
      <c r="L701" s="18"/>
      <c r="M701" s="18"/>
      <c r="N701" s="18"/>
      <c r="O701" s="18"/>
      <c r="P701" s="18"/>
      <c r="Q701" s="18"/>
      <c r="R701" s="18"/>
      <c r="S701" s="18"/>
      <c r="T701" s="18"/>
      <c r="U701" s="18"/>
      <c r="V701" s="18"/>
      <c r="W701" s="18"/>
      <c r="X701" s="18"/>
      <c r="Y701" s="18"/>
    </row>
    <row r="702" spans="1:25" ht="46.5" customHeight="1">
      <c r="A702" s="172" t="s">
        <v>98</v>
      </c>
      <c r="B702" s="23" t="s">
        <v>90</v>
      </c>
      <c r="C702" s="171" t="s">
        <v>129</v>
      </c>
      <c r="D702" s="25" t="s">
        <v>100</v>
      </c>
      <c r="E702" s="93"/>
      <c r="K702" s="177"/>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https://www.comunidad.madrid/transparencia/</v>
      </c>
      <c r="D703" s="99" t="s">
        <v>103</v>
      </c>
      <c r="E703" s="79" t="str">
        <f t="shared" ref="E703:E737" si="36">IF(D703&lt;&gt;"",IF(AND(B703&lt;&gt;"",C703&lt;&gt;""),"","ERR"),"")</f>
        <v/>
      </c>
      <c r="F703" s="86" t="s">
        <v>101</v>
      </c>
      <c r="G703" s="87" t="s">
        <v>102</v>
      </c>
      <c r="H703" s="88" t="s">
        <v>103</v>
      </c>
      <c r="I703" s="89" t="s">
        <v>93</v>
      </c>
      <c r="J703" s="90" t="s">
        <v>91</v>
      </c>
      <c r="K703" s="180"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Aviso legal</v>
      </c>
      <c r="C704" s="85" t="str" cm="1">
        <f t="array" ref="C704">IFERROR(INDEX('03.Muestra'!$F$8:$F$42,SMALL(IF("Página Web"='03.Muestra'!$D$8:$D$42,ROW('03.Muestra'!$F$8:$F$42)-MIN(ROW('03.Muestra'!$D$8:$D$42))+1,""),ROW()-702)),"")</f>
        <v>https://www.comunidad.madrid/transparencia/aviso-legal</v>
      </c>
      <c r="D704" s="99" t="s">
        <v>103</v>
      </c>
      <c r="E704" s="79" t="str">
        <f t="shared" si="36"/>
        <v/>
      </c>
      <c r="F704" s="91">
        <f ca="1">COUNTIF($D703:INDIRECT("$D" &amp;  SUM(ROW()-1,'03.Muestra'!$D$45)-1),F703)</f>
        <v>0</v>
      </c>
      <c r="G704" s="91">
        <f ca="1">COUNTIF($D703:INDIRECT("$D" &amp;  SUM(ROW()-1,'03.Muestra'!$D$45)-1),G703)</f>
        <v>0</v>
      </c>
      <c r="H704" s="91">
        <f ca="1">COUNTIF($D703:INDIRECT("$D" &amp;  SUM(ROW()-1,'03.Muestra'!$D$45)-1),H703)</f>
        <v>14</v>
      </c>
      <c r="I704" s="91">
        <f ca="1">COUNTIF($D703:INDIRECT("$D" &amp;  SUM(ROW()-1,'03.Muestra'!$D$45)-1),I703)</f>
        <v>0</v>
      </c>
      <c r="J704" s="91">
        <f ca="1">COUNTIF($D703:INDIRECT("$D" &amp;  SUM(ROW()-1,'03.Muestra'!$D$45)-1),J703)</f>
        <v>0</v>
      </c>
      <c r="K704" s="181">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Accesibilidad</v>
      </c>
      <c r="C705" s="85" t="str" cm="1">
        <f t="array" ref="C705">IFERROR(INDEX('03.Muestra'!$F$8:$F$42,SMALL(IF("Página Web"='03.Muestra'!$D$8:$D$42,ROW('03.Muestra'!$F$8:$F$42)-MIN(ROW('03.Muestra'!$D$8:$D$42))+1,""),ROW()-702)),"")</f>
        <v>https://www.comunidad.madrid/transparencia/declaracion-accesibilidad</v>
      </c>
      <c r="D705" s="99" t="s">
        <v>103</v>
      </c>
      <c r="E705" s="79" t="str">
        <f t="shared" si="36"/>
        <v/>
      </c>
      <c r="G705" s="18"/>
      <c r="H705" s="18"/>
      <c r="I705" s="18"/>
      <c r="J705" s="18"/>
      <c r="K705" s="177"/>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Tranparencia</v>
      </c>
      <c r="C706" s="85" t="str" cm="1">
        <f t="array" ref="C706">IFERROR(INDEX('03.Muestra'!$F$8:$F$42,SMALL(IF("Página Web"='03.Muestra'!$D$8:$D$42,ROW('03.Muestra'!$F$8:$F$42)-MIN(ROW('03.Muestra'!$D$8:$D$42))+1,""),ROW()-702)),"")</f>
        <v>https://www.comunidad.madrid/transparencia/que-es-transparencia</v>
      </c>
      <c r="D706" s="99" t="s">
        <v>103</v>
      </c>
      <c r="E706" s="79" t="str">
        <f t="shared" si="36"/>
        <v/>
      </c>
      <c r="G706" s="18"/>
      <c r="H706" s="18"/>
      <c r="I706" s="18"/>
      <c r="J706" s="18"/>
      <c r="K706" s="177"/>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Organización</v>
      </c>
      <c r="C707" s="85" t="str" cm="1">
        <f t="array" ref="C707">IFERROR(INDEX('03.Muestra'!$F$8:$F$42,SMALL(IF("Página Web"='03.Muestra'!$D$8:$D$42,ROW('03.Muestra'!$F$8:$F$42)-MIN(ROW('03.Muestra'!$D$8:$D$42))+1,""),ROW()-702)),"")</f>
        <v>https://www.comunidad.madrid/transparencia/organizacion-recursos/organizacion</v>
      </c>
      <c r="D707" s="99" t="s">
        <v>103</v>
      </c>
      <c r="E707" s="79" t="str">
        <f t="shared" si="36"/>
        <v/>
      </c>
      <c r="G707" s="18"/>
      <c r="H707" s="18"/>
      <c r="I707" s="18"/>
      <c r="J707" s="18"/>
      <c r="K707" s="177"/>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Quejas</v>
      </c>
      <c r="C708" s="85" t="str" cm="1">
        <f t="array" ref="C708">IFERROR(INDEX('03.Muestra'!$F$8:$F$42,SMALL(IF("Página Web"='03.Muestra'!$D$8:$D$42,ROW('03.Muestra'!$F$8:$F$42)-MIN(ROW('03.Muestra'!$D$8:$D$42))+1,""),ROW()-702)),"")</f>
        <v>https://www.comunidad.madrid/transparencia/quejas-y-reclamaciones</v>
      </c>
      <c r="D708" s="99" t="s">
        <v>103</v>
      </c>
      <c r="E708" s="79" t="str">
        <f t="shared" si="36"/>
        <v/>
      </c>
      <c r="G708" s="18"/>
      <c r="H708" s="18"/>
      <c r="I708" s="18"/>
      <c r="J708" s="18"/>
      <c r="K708" s="177"/>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Contratos</v>
      </c>
      <c r="C709" s="85" t="str" cm="1">
        <f t="array" ref="C709">IFERROR(INDEX('03.Muestra'!$F$8:$F$42,SMALL(IF("Página Web"='03.Muestra'!$D$8:$D$42,ROW('03.Muestra'!$F$8:$F$42)-MIN(ROW('03.Muestra'!$D$8:$D$42))+1,""),ROW()-702)),"")</f>
        <v>https://www.comunidad.madrid/transparencia/contratos</v>
      </c>
      <c r="D709" s="99" t="s">
        <v>103</v>
      </c>
      <c r="E709" s="79" t="str">
        <f t="shared" si="36"/>
        <v/>
      </c>
      <c r="F709" s="18"/>
      <c r="G709" s="18"/>
      <c r="H709" s="18"/>
      <c r="I709" s="18"/>
      <c r="J709" s="18"/>
      <c r="K709" s="177"/>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Consulta</v>
      </c>
      <c r="C710" s="85" t="str" cm="1">
        <f t="array" ref="C710">IFERROR(INDEX('03.Muestra'!$F$8:$F$42,SMALL(IF("Página Web"='03.Muestra'!$D$8:$D$42,ROW('03.Muestra'!$F$8:$F$42)-MIN(ROW('03.Muestra'!$D$8:$D$42))+1,""),ROW()-702)),"")</f>
        <v>https://www.comunidad.madrid/transparencia/normativa-planificacion/consulta-publica</v>
      </c>
      <c r="D710" s="99" t="s">
        <v>103</v>
      </c>
      <c r="E710" s="79" t="str">
        <f t="shared" si="36"/>
        <v/>
      </c>
      <c r="F710" s="18"/>
      <c r="G710" s="18"/>
      <c r="H710" s="18"/>
      <c r="I710" s="18"/>
      <c r="J710" s="18"/>
      <c r="K710" s="177"/>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Proyecto</v>
      </c>
      <c r="C711" s="85" t="str" cm="1">
        <f t="array" ref="C711">IFERROR(INDEX('03.Muestra'!$F$8:$F$42,SMALL(IF("Página Web"='03.Muestra'!$D$8:$D$42,ROW('03.Muestra'!$F$8:$F$42)-MIN(ROW('03.Muestra'!$D$8:$D$42))+1,""),ROW()-702)),"")</f>
        <v>https://www.comunidad.madrid/transparencia/proyecto-orden-que-se-crea-comision-farmacia-y-productos-sanitarios-cm-y-se-establece-su-composicion</v>
      </c>
      <c r="D711" s="99" t="s">
        <v>103</v>
      </c>
      <c r="E711" s="79" t="str">
        <f t="shared" si="36"/>
        <v/>
      </c>
      <c r="F711" s="18"/>
      <c r="G711" s="18"/>
      <c r="H711" s="18"/>
      <c r="I711" s="18"/>
      <c r="J711" s="18"/>
      <c r="K711" s="177"/>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Planes y Programas</v>
      </c>
      <c r="C712" s="85" t="str" cm="1">
        <f t="array" ref="C712">IFERROR(INDEX('03.Muestra'!$F$8:$F$42,SMALL(IF("Página Web"='03.Muestra'!$D$8:$D$42,ROW('03.Muestra'!$F$8:$F$42)-MIN(ROW('03.Muestra'!$D$8:$D$42))+1,""),ROW()-702)),"")</f>
        <v>https://www.comunidad.madrid/transparencia/normativa-planificacion/planes-programas</v>
      </c>
      <c r="D712" s="99" t="s">
        <v>103</v>
      </c>
      <c r="E712" s="79" t="str">
        <f t="shared" si="36"/>
        <v/>
      </c>
      <c r="F712" s="18"/>
      <c r="G712" s="18"/>
      <c r="H712" s="18"/>
      <c r="I712" s="18"/>
      <c r="J712" s="18"/>
      <c r="K712" s="177"/>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Estrategia</v>
      </c>
      <c r="C713" s="85" t="str" cm="1">
        <f t="array" ref="C713">IFERROR(INDEX('03.Muestra'!$F$8:$F$42,SMALL(IF("Página Web"='03.Muestra'!$D$8:$D$42,ROW('03.Muestra'!$F$8:$F$42)-MIN(ROW('03.Muestra'!$D$8:$D$42))+1,""),ROW()-702)),"")</f>
        <v>https://www.comunidad.madrid/transparencia/informacion-institucional/planes-programas/estrategia-seguridad-del-paciente-del-servicio-madrileno</v>
      </c>
      <c r="D713" s="99" t="s">
        <v>103</v>
      </c>
      <c r="E713" s="79" t="str">
        <f t="shared" si="36"/>
        <v/>
      </c>
      <c r="F713" s="18"/>
      <c r="G713" s="18"/>
      <c r="H713" s="18"/>
      <c r="I713" s="18"/>
      <c r="J713" s="18"/>
      <c r="K713" s="177"/>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Huella</v>
      </c>
      <c r="C714" s="85" t="str" cm="1">
        <f t="array" ref="C714">IFERROR(INDEX('03.Muestra'!$F$8:$F$42,SMALL(IF("Página Web"='03.Muestra'!$D$8:$D$42,ROW('03.Muestra'!$F$8:$F$42)-MIN(ROW('03.Muestra'!$D$8:$D$42))+1,""),ROW()-702)),"")</f>
        <v>https://www.comunidad.madrid/transparencia/normativa-planificacion/huella-normativa</v>
      </c>
      <c r="D714" s="99" t="s">
        <v>103</v>
      </c>
      <c r="E714" s="79" t="str">
        <f t="shared" si="36"/>
        <v/>
      </c>
      <c r="F714" s="18"/>
      <c r="G714" s="18"/>
      <c r="H714" s="18"/>
      <c r="I714" s="18"/>
      <c r="J714" s="18"/>
      <c r="K714" s="177"/>
      <c r="L714" s="18"/>
      <c r="M714" s="18"/>
      <c r="N714" s="18"/>
      <c r="O714" s="18"/>
      <c r="P714" s="18"/>
      <c r="Q714" s="18"/>
      <c r="R714" s="18"/>
      <c r="S714" s="18"/>
      <c r="T714" s="18"/>
      <c r="U714" s="18"/>
      <c r="V714" s="18"/>
      <c r="W714" s="18"/>
      <c r="X714" s="18"/>
      <c r="Y714" s="18"/>
    </row>
    <row r="715" spans="1:25" ht="14.15"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Decreto</v>
      </c>
      <c r="C715" s="85" t="str" cm="1">
        <f t="array" ref="C715">IFERROR(INDEX('03.Muestra'!$F$8:$F$42,SMALL(IF("Página Web"='03.Muestra'!$D$8:$D$42,ROW('03.Muestra'!$F$8:$F$42)-MIN(ROW('03.Muestra'!$D$8:$D$42))+1,""),ROW()-702)),"")</f>
        <v>https://www.comunidad.madrid/transparencia/decreto-del-consejo-gobierno-que-se-establece-estructura-organica-consejeria-familia-juventud-y</v>
      </c>
      <c r="D715" s="99" t="s">
        <v>103</v>
      </c>
      <c r="E715" s="79" t="str">
        <f t="shared" si="36"/>
        <v/>
      </c>
      <c r="F715" s="18"/>
      <c r="G715" s="18"/>
      <c r="H715" s="18"/>
      <c r="I715" s="18"/>
      <c r="J715" s="18"/>
      <c r="K715" s="177"/>
      <c r="L715" s="18"/>
      <c r="M715" s="18"/>
      <c r="N715" s="18"/>
      <c r="O715" s="18"/>
      <c r="P715" s="18"/>
      <c r="Q715" s="18"/>
      <c r="R715" s="18"/>
      <c r="S715" s="18"/>
      <c r="T715" s="18"/>
      <c r="U715" s="18"/>
      <c r="V715" s="18"/>
      <c r="W715" s="18"/>
      <c r="X715" s="18"/>
      <c r="Y715" s="18"/>
    </row>
    <row r="716" spans="1:25" ht="14.15"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Entidades Locales</v>
      </c>
      <c r="C716" s="85" t="str" cm="1">
        <f t="array" ref="C716">IFERROR(INDEX('03.Muestra'!$F$8:$F$42,SMALL(IF("Página Web"='03.Muestra'!$D$8:$D$42,ROW('03.Muestra'!$F$8:$F$42)-MIN(ROW('03.Muestra'!$D$8:$D$42))+1,""),ROW()-702)),"")</f>
        <v>https://www.comunidad.madrid/transparencia/entidades-locales</v>
      </c>
      <c r="D716" s="99" t="s">
        <v>103</v>
      </c>
      <c r="E716" s="79" t="str">
        <f t="shared" si="36"/>
        <v/>
      </c>
      <c r="F716" s="18"/>
      <c r="G716" s="18"/>
      <c r="H716" s="18"/>
      <c r="I716" s="18"/>
      <c r="J716" s="18"/>
      <c r="K716" s="177"/>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ref="D717:D737" si="37">IF(AND(B717&lt;&gt;"",C717&lt;&gt;""),"N/T","")</f>
        <v/>
      </c>
      <c r="E717" s="79" t="str">
        <f t="shared" si="36"/>
        <v/>
      </c>
      <c r="F717" s="18"/>
      <c r="G717" s="18"/>
      <c r="H717" s="18"/>
      <c r="I717" s="18"/>
      <c r="J717" s="18"/>
      <c r="K717" s="177"/>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7"/>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7"/>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7"/>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7"/>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7"/>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7"/>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7"/>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7"/>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7"/>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7"/>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7"/>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7"/>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7"/>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7"/>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7"/>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7"/>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7"/>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7"/>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7"/>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7"/>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E57:E92 E437:E471 E475:E509 E551:E585 E589:E623 E19:E53">
    <cfRule type="cellIs" dxfId="1525" priority="483" stopIfTrue="1" operator="equal">
      <formula>"ERR"</formula>
    </cfRule>
  </conditionalFormatting>
  <conditionalFormatting sqref="D21:D53 D59:D92 D437:D471 D475:D509 D551:D585 D589:D623 F19:J19 F57:J57 F437:J437 F475:J475 F551:J551 F589:J589 F95:J95 F133:J133 F171:J171 F209:J209 F247:J247 F285:J285 F323:J323 F361:J361 F399:J399 F513:J513 F627:J627 F665:J665 F703:J703">
    <cfRule type="expression" dxfId="1524" priority="477" stopIfTrue="1">
      <formula>ISBLANK(D19)</formula>
    </cfRule>
    <cfRule type="cellIs" dxfId="1523" priority="478" stopIfTrue="1" operator="equal">
      <formula>"Pasa"</formula>
    </cfRule>
    <cfRule type="cellIs" dxfId="1522" priority="479" stopIfTrue="1" operator="equal">
      <formula>"Falla"</formula>
    </cfRule>
    <cfRule type="cellIs" dxfId="1521" priority="480" stopIfTrue="1" operator="equal">
      <formula>"N/A"</formula>
    </cfRule>
    <cfRule type="cellIs" dxfId="1520" priority="481" stopIfTrue="1" operator="equal">
      <formula>"N/T"</formula>
    </cfRule>
    <cfRule type="cellIs" dxfId="1519" priority="482" stopIfTrue="1" operator="equal">
      <formula>"N/D"</formula>
    </cfRule>
  </conditionalFormatting>
  <conditionalFormatting sqref="D1:D8 D739:D1048576 D10:D18 D435:D510 D549:D624 D21:D56 D59:D93">
    <cfRule type="cellIs" dxfId="1518" priority="362" stopIfTrue="1" operator="equal">
      <formula>"-"</formula>
    </cfRule>
  </conditionalFormatting>
  <conditionalFormatting sqref="E95:E130">
    <cfRule type="cellIs" dxfId="1517" priority="361" stopIfTrue="1" operator="equal">
      <formula>"ERR"</formula>
    </cfRule>
  </conditionalFormatting>
  <conditionalFormatting sqref="D97:D130">
    <cfRule type="expression" dxfId="1516" priority="355" stopIfTrue="1">
      <formula>ISBLANK(D97)</formula>
    </cfRule>
    <cfRule type="cellIs" dxfId="1515" priority="356" stopIfTrue="1" operator="equal">
      <formula>"Pasa"</formula>
    </cfRule>
    <cfRule type="cellIs" dxfId="1514" priority="357" stopIfTrue="1" operator="equal">
      <formula>"Falla"</formula>
    </cfRule>
    <cfRule type="cellIs" dxfId="1513" priority="358" stopIfTrue="1" operator="equal">
      <formula>"N/A"</formula>
    </cfRule>
    <cfRule type="cellIs" dxfId="1512" priority="359" stopIfTrue="1" operator="equal">
      <formula>"N/T"</formula>
    </cfRule>
    <cfRule type="cellIs" dxfId="1511" priority="360" stopIfTrue="1" operator="equal">
      <formula>"N/D"</formula>
    </cfRule>
  </conditionalFormatting>
  <conditionalFormatting sqref="D94 D97:D131">
    <cfRule type="cellIs" dxfId="1510" priority="348" stopIfTrue="1" operator="equal">
      <formula>"-"</formula>
    </cfRule>
  </conditionalFormatting>
  <conditionalFormatting sqref="E133:E168">
    <cfRule type="cellIs" dxfId="1509" priority="347" stopIfTrue="1" operator="equal">
      <formula>"ERR"</formula>
    </cfRule>
  </conditionalFormatting>
  <conditionalFormatting sqref="D135:D168">
    <cfRule type="expression" dxfId="1508" priority="341" stopIfTrue="1">
      <formula>ISBLANK(D135)</formula>
    </cfRule>
    <cfRule type="cellIs" dxfId="1507" priority="342" stopIfTrue="1" operator="equal">
      <formula>"Pasa"</formula>
    </cfRule>
    <cfRule type="cellIs" dxfId="1506" priority="343" stopIfTrue="1" operator="equal">
      <formula>"Falla"</formula>
    </cfRule>
    <cfRule type="cellIs" dxfId="1505" priority="344" stopIfTrue="1" operator="equal">
      <formula>"N/A"</formula>
    </cfRule>
    <cfRule type="cellIs" dxfId="1504" priority="345" stopIfTrue="1" operator="equal">
      <formula>"N/T"</formula>
    </cfRule>
    <cfRule type="cellIs" dxfId="1503" priority="346" stopIfTrue="1" operator="equal">
      <formula>"N/D"</formula>
    </cfRule>
  </conditionalFormatting>
  <conditionalFormatting sqref="D132 D135:D169">
    <cfRule type="cellIs" dxfId="1502" priority="334" stopIfTrue="1" operator="equal">
      <formula>"-"</formula>
    </cfRule>
  </conditionalFormatting>
  <conditionalFormatting sqref="E171:E205">
    <cfRule type="cellIs" dxfId="1501" priority="333" stopIfTrue="1" operator="equal">
      <formula>"ERR"</formula>
    </cfRule>
  </conditionalFormatting>
  <conditionalFormatting sqref="D173:D205">
    <cfRule type="expression" dxfId="1500" priority="327" stopIfTrue="1">
      <formula>ISBLANK(D173)</formula>
    </cfRule>
    <cfRule type="cellIs" dxfId="1499" priority="328" stopIfTrue="1" operator="equal">
      <formula>"Pasa"</formula>
    </cfRule>
    <cfRule type="cellIs" dxfId="1498" priority="329" stopIfTrue="1" operator="equal">
      <formula>"Falla"</formula>
    </cfRule>
    <cfRule type="cellIs" dxfId="1497" priority="330" stopIfTrue="1" operator="equal">
      <formula>"N/A"</formula>
    </cfRule>
    <cfRule type="cellIs" dxfId="1496" priority="331" stopIfTrue="1" operator="equal">
      <formula>"N/T"</formula>
    </cfRule>
    <cfRule type="cellIs" dxfId="1495" priority="332" stopIfTrue="1" operator="equal">
      <formula>"N/D"</formula>
    </cfRule>
  </conditionalFormatting>
  <conditionalFormatting sqref="D170 D173:D206">
    <cfRule type="cellIs" dxfId="1494" priority="320" stopIfTrue="1" operator="equal">
      <formula>"-"</formula>
    </cfRule>
  </conditionalFormatting>
  <conditionalFormatting sqref="D207">
    <cfRule type="cellIs" dxfId="1493" priority="319" stopIfTrue="1" operator="equal">
      <formula>"-"</formula>
    </cfRule>
  </conditionalFormatting>
  <conditionalFormatting sqref="E209:E243">
    <cfRule type="cellIs" dxfId="1492" priority="318" stopIfTrue="1" operator="equal">
      <formula>"ERR"</formula>
    </cfRule>
  </conditionalFormatting>
  <conditionalFormatting sqref="D211:D243">
    <cfRule type="expression" dxfId="1491" priority="312" stopIfTrue="1">
      <formula>ISBLANK(D211)</formula>
    </cfRule>
    <cfRule type="cellIs" dxfId="1490" priority="313" stopIfTrue="1" operator="equal">
      <formula>"Pasa"</formula>
    </cfRule>
    <cfRule type="cellIs" dxfId="1489" priority="314" stopIfTrue="1" operator="equal">
      <formula>"Falla"</formula>
    </cfRule>
    <cfRule type="cellIs" dxfId="1488" priority="315" stopIfTrue="1" operator="equal">
      <formula>"N/A"</formula>
    </cfRule>
    <cfRule type="cellIs" dxfId="1487" priority="316" stopIfTrue="1" operator="equal">
      <formula>"N/T"</formula>
    </cfRule>
    <cfRule type="cellIs" dxfId="1486" priority="317" stopIfTrue="1" operator="equal">
      <formula>"N/D"</formula>
    </cfRule>
  </conditionalFormatting>
  <conditionalFormatting sqref="D208 D211:D244">
    <cfRule type="cellIs" dxfId="1485" priority="305" stopIfTrue="1" operator="equal">
      <formula>"-"</formula>
    </cfRule>
  </conditionalFormatting>
  <conditionalFormatting sqref="D245">
    <cfRule type="cellIs" dxfId="1484" priority="304" stopIfTrue="1" operator="equal">
      <formula>"-"</formula>
    </cfRule>
  </conditionalFormatting>
  <conditionalFormatting sqref="E247:E281">
    <cfRule type="cellIs" dxfId="1483" priority="303" stopIfTrue="1" operator="equal">
      <formula>"ERR"</formula>
    </cfRule>
  </conditionalFormatting>
  <conditionalFormatting sqref="D249:D281">
    <cfRule type="expression" dxfId="1482" priority="297" stopIfTrue="1">
      <formula>ISBLANK(D249)</formula>
    </cfRule>
    <cfRule type="cellIs" dxfId="1481" priority="298" stopIfTrue="1" operator="equal">
      <formula>"Pasa"</formula>
    </cfRule>
    <cfRule type="cellIs" dxfId="1480" priority="299" stopIfTrue="1" operator="equal">
      <formula>"Falla"</formula>
    </cfRule>
    <cfRule type="cellIs" dxfId="1479" priority="300" stopIfTrue="1" operator="equal">
      <formula>"N/A"</formula>
    </cfRule>
    <cfRule type="cellIs" dxfId="1478" priority="301" stopIfTrue="1" operator="equal">
      <formula>"N/T"</formula>
    </cfRule>
    <cfRule type="cellIs" dxfId="1477" priority="302" stopIfTrue="1" operator="equal">
      <formula>"N/D"</formula>
    </cfRule>
  </conditionalFormatting>
  <conditionalFormatting sqref="D246 D249:D282">
    <cfRule type="cellIs" dxfId="1476" priority="290" stopIfTrue="1" operator="equal">
      <formula>"-"</formula>
    </cfRule>
  </conditionalFormatting>
  <conditionalFormatting sqref="D283">
    <cfRule type="cellIs" dxfId="1475" priority="289" stopIfTrue="1" operator="equal">
      <formula>"-"</formula>
    </cfRule>
  </conditionalFormatting>
  <conditionalFormatting sqref="E285:E319">
    <cfRule type="cellIs" dxfId="1474" priority="288" stopIfTrue="1" operator="equal">
      <formula>"ERR"</formula>
    </cfRule>
  </conditionalFormatting>
  <conditionalFormatting sqref="D287:D319">
    <cfRule type="expression" dxfId="1473" priority="282" stopIfTrue="1">
      <formula>ISBLANK(D287)</formula>
    </cfRule>
    <cfRule type="cellIs" dxfId="1472" priority="283" stopIfTrue="1" operator="equal">
      <formula>"Pasa"</formula>
    </cfRule>
    <cfRule type="cellIs" dxfId="1471" priority="284" stopIfTrue="1" operator="equal">
      <formula>"Falla"</formula>
    </cfRule>
    <cfRule type="cellIs" dxfId="1470" priority="285" stopIfTrue="1" operator="equal">
      <formula>"N/A"</formula>
    </cfRule>
    <cfRule type="cellIs" dxfId="1469" priority="286" stopIfTrue="1" operator="equal">
      <formula>"N/T"</formula>
    </cfRule>
    <cfRule type="cellIs" dxfId="1468" priority="287" stopIfTrue="1" operator="equal">
      <formula>"N/D"</formula>
    </cfRule>
  </conditionalFormatting>
  <conditionalFormatting sqref="D284 D287:D320">
    <cfRule type="cellIs" dxfId="1467" priority="275" stopIfTrue="1" operator="equal">
      <formula>"-"</formula>
    </cfRule>
  </conditionalFormatting>
  <conditionalFormatting sqref="D321">
    <cfRule type="cellIs" dxfId="1466" priority="274" stopIfTrue="1" operator="equal">
      <formula>"-"</formula>
    </cfRule>
  </conditionalFormatting>
  <conditionalFormatting sqref="E323:E357">
    <cfRule type="cellIs" dxfId="1465" priority="273" stopIfTrue="1" operator="equal">
      <formula>"ERR"</formula>
    </cfRule>
  </conditionalFormatting>
  <conditionalFormatting sqref="D323:D357">
    <cfRule type="expression" dxfId="1464" priority="267" stopIfTrue="1">
      <formula>ISBLANK(D323)</formula>
    </cfRule>
    <cfRule type="cellIs" dxfId="1463" priority="268" stopIfTrue="1" operator="equal">
      <formula>"Pasa"</formula>
    </cfRule>
    <cfRule type="cellIs" dxfId="1462" priority="269" stopIfTrue="1" operator="equal">
      <formula>"Falla"</formula>
    </cfRule>
    <cfRule type="cellIs" dxfId="1461" priority="270" stopIfTrue="1" operator="equal">
      <formula>"N/A"</formula>
    </cfRule>
    <cfRule type="cellIs" dxfId="1460" priority="271" stopIfTrue="1" operator="equal">
      <formula>"N/T"</formula>
    </cfRule>
    <cfRule type="cellIs" dxfId="1459" priority="272" stopIfTrue="1" operator="equal">
      <formula>"N/D"</formula>
    </cfRule>
  </conditionalFormatting>
  <conditionalFormatting sqref="D322:D358">
    <cfRule type="cellIs" dxfId="1458" priority="260" stopIfTrue="1" operator="equal">
      <formula>"-"</formula>
    </cfRule>
  </conditionalFormatting>
  <conditionalFormatting sqref="D359">
    <cfRule type="cellIs" dxfId="1457" priority="259" stopIfTrue="1" operator="equal">
      <formula>"-"</formula>
    </cfRule>
  </conditionalFormatting>
  <conditionalFormatting sqref="E361:E395">
    <cfRule type="cellIs" dxfId="1456" priority="258" stopIfTrue="1" operator="equal">
      <formula>"ERR"</formula>
    </cfRule>
  </conditionalFormatting>
  <conditionalFormatting sqref="D361:D395">
    <cfRule type="expression" dxfId="1455" priority="252" stopIfTrue="1">
      <formula>ISBLANK(D361)</formula>
    </cfRule>
    <cfRule type="cellIs" dxfId="1454" priority="253" stopIfTrue="1" operator="equal">
      <formula>"Pasa"</formula>
    </cfRule>
    <cfRule type="cellIs" dxfId="1453" priority="254" stopIfTrue="1" operator="equal">
      <formula>"Falla"</formula>
    </cfRule>
    <cfRule type="cellIs" dxfId="1452" priority="255" stopIfTrue="1" operator="equal">
      <formula>"N/A"</formula>
    </cfRule>
    <cfRule type="cellIs" dxfId="1451" priority="256" stopIfTrue="1" operator="equal">
      <formula>"N/T"</formula>
    </cfRule>
    <cfRule type="cellIs" dxfId="1450" priority="257" stopIfTrue="1" operator="equal">
      <formula>"N/D"</formula>
    </cfRule>
  </conditionalFormatting>
  <conditionalFormatting sqref="D360:D396">
    <cfRule type="cellIs" dxfId="1449" priority="245" stopIfTrue="1" operator="equal">
      <formula>"-"</formula>
    </cfRule>
  </conditionalFormatting>
  <conditionalFormatting sqref="D397">
    <cfRule type="cellIs" dxfId="1448" priority="244" stopIfTrue="1" operator="equal">
      <formula>"-"</formula>
    </cfRule>
  </conditionalFormatting>
  <conditionalFormatting sqref="E399:E433">
    <cfRule type="cellIs" dxfId="1447" priority="243" stopIfTrue="1" operator="equal">
      <formula>"ERR"</formula>
    </cfRule>
  </conditionalFormatting>
  <conditionalFormatting sqref="D399:D433">
    <cfRule type="expression" dxfId="1446" priority="237" stopIfTrue="1">
      <formula>ISBLANK(D399)</formula>
    </cfRule>
    <cfRule type="cellIs" dxfId="1445" priority="238" stopIfTrue="1" operator="equal">
      <formula>"Pasa"</formula>
    </cfRule>
    <cfRule type="cellIs" dxfId="1444" priority="239" stopIfTrue="1" operator="equal">
      <formula>"Falla"</formula>
    </cfRule>
    <cfRule type="cellIs" dxfId="1443" priority="240" stopIfTrue="1" operator="equal">
      <formula>"N/A"</formula>
    </cfRule>
    <cfRule type="cellIs" dxfId="1442" priority="241" stopIfTrue="1" operator="equal">
      <formula>"N/T"</formula>
    </cfRule>
    <cfRule type="cellIs" dxfId="1441" priority="242" stopIfTrue="1" operator="equal">
      <formula>"N/D"</formula>
    </cfRule>
  </conditionalFormatting>
  <conditionalFormatting sqref="D398:D434">
    <cfRule type="cellIs" dxfId="1440" priority="230" stopIfTrue="1" operator="equal">
      <formula>"-"</formula>
    </cfRule>
  </conditionalFormatting>
  <conditionalFormatting sqref="E513:E547">
    <cfRule type="cellIs" dxfId="1439" priority="229" stopIfTrue="1" operator="equal">
      <formula>"ERR"</formula>
    </cfRule>
  </conditionalFormatting>
  <conditionalFormatting sqref="D513:D547">
    <cfRule type="expression" dxfId="1438" priority="223" stopIfTrue="1">
      <formula>ISBLANK(D513)</formula>
    </cfRule>
    <cfRule type="cellIs" dxfId="1437" priority="224" stopIfTrue="1" operator="equal">
      <formula>"Pasa"</formula>
    </cfRule>
    <cfRule type="cellIs" dxfId="1436" priority="225" stopIfTrue="1" operator="equal">
      <formula>"Falla"</formula>
    </cfRule>
    <cfRule type="cellIs" dxfId="1435" priority="226" stopIfTrue="1" operator="equal">
      <formula>"N/A"</formula>
    </cfRule>
    <cfRule type="cellIs" dxfId="1434" priority="227" stopIfTrue="1" operator="equal">
      <formula>"N/T"</formula>
    </cfRule>
    <cfRule type="cellIs" dxfId="1433" priority="228" stopIfTrue="1" operator="equal">
      <formula>"N/D"</formula>
    </cfRule>
  </conditionalFormatting>
  <conditionalFormatting sqref="D511:D548">
    <cfRule type="cellIs" dxfId="1432" priority="216" stopIfTrue="1" operator="equal">
      <formula>"-"</formula>
    </cfRule>
  </conditionalFormatting>
  <conditionalFormatting sqref="E627:E661">
    <cfRule type="cellIs" dxfId="1431" priority="187" stopIfTrue="1" operator="equal">
      <formula>"ERR"</formula>
    </cfRule>
  </conditionalFormatting>
  <conditionalFormatting sqref="D627:D661">
    <cfRule type="expression" dxfId="1430" priority="181" stopIfTrue="1">
      <formula>ISBLANK(D627)</formula>
    </cfRule>
    <cfRule type="cellIs" dxfId="1429" priority="182" stopIfTrue="1" operator="equal">
      <formula>"Pasa"</formula>
    </cfRule>
    <cfRule type="cellIs" dxfId="1428" priority="183" stopIfTrue="1" operator="equal">
      <formula>"Falla"</formula>
    </cfRule>
    <cfRule type="cellIs" dxfId="1427" priority="184" stopIfTrue="1" operator="equal">
      <formula>"N/A"</formula>
    </cfRule>
    <cfRule type="cellIs" dxfId="1426" priority="185" stopIfTrue="1" operator="equal">
      <formula>"N/T"</formula>
    </cfRule>
    <cfRule type="cellIs" dxfId="1425" priority="186" stopIfTrue="1" operator="equal">
      <formula>"N/D"</formula>
    </cfRule>
  </conditionalFormatting>
  <conditionalFormatting sqref="D625:D662">
    <cfRule type="cellIs" dxfId="1424" priority="174" stopIfTrue="1" operator="equal">
      <formula>"-"</formula>
    </cfRule>
  </conditionalFormatting>
  <conditionalFormatting sqref="E665:E699">
    <cfRule type="cellIs" dxfId="1423" priority="173" stopIfTrue="1" operator="equal">
      <formula>"ERR"</formula>
    </cfRule>
  </conditionalFormatting>
  <conditionalFormatting sqref="D665:D699">
    <cfRule type="expression" dxfId="1422" priority="167" stopIfTrue="1">
      <formula>ISBLANK(D665)</formula>
    </cfRule>
    <cfRule type="cellIs" dxfId="1421" priority="168" stopIfTrue="1" operator="equal">
      <formula>"Pasa"</formula>
    </cfRule>
    <cfRule type="cellIs" dxfId="1420" priority="169" stopIfTrue="1" operator="equal">
      <formula>"Falla"</formula>
    </cfRule>
    <cfRule type="cellIs" dxfId="1419" priority="170" stopIfTrue="1" operator="equal">
      <formula>"N/A"</formula>
    </cfRule>
    <cfRule type="cellIs" dxfId="1418" priority="171" stopIfTrue="1" operator="equal">
      <formula>"N/T"</formula>
    </cfRule>
    <cfRule type="cellIs" dxfId="1417" priority="172" stopIfTrue="1" operator="equal">
      <formula>"N/D"</formula>
    </cfRule>
  </conditionalFormatting>
  <conditionalFormatting sqref="D663:D700">
    <cfRule type="cellIs" dxfId="1416" priority="160" stopIfTrue="1" operator="equal">
      <formula>"-"</formula>
    </cfRule>
  </conditionalFormatting>
  <conditionalFormatting sqref="E703:E737">
    <cfRule type="cellIs" dxfId="1415" priority="159" stopIfTrue="1" operator="equal">
      <formula>"ERR"</formula>
    </cfRule>
  </conditionalFormatting>
  <conditionalFormatting sqref="D703:D737">
    <cfRule type="expression" dxfId="1414" priority="153" stopIfTrue="1">
      <formula>ISBLANK(D703)</formula>
    </cfRule>
    <cfRule type="cellIs" dxfId="1413" priority="154" stopIfTrue="1" operator="equal">
      <formula>"Pasa"</formula>
    </cfRule>
    <cfRule type="cellIs" dxfId="1412" priority="155" stopIfTrue="1" operator="equal">
      <formula>"Falla"</formula>
    </cfRule>
    <cfRule type="cellIs" dxfId="1411" priority="156" stopIfTrue="1" operator="equal">
      <formula>"N/A"</formula>
    </cfRule>
    <cfRule type="cellIs" dxfId="1410" priority="157" stopIfTrue="1" operator="equal">
      <formula>"N/T"</formula>
    </cfRule>
    <cfRule type="cellIs" dxfId="1409" priority="158" stopIfTrue="1" operator="equal">
      <formula>"N/D"</formula>
    </cfRule>
  </conditionalFormatting>
  <conditionalFormatting sqref="D701:D738">
    <cfRule type="cellIs" dxfId="1408" priority="146" stopIfTrue="1" operator="equal">
      <formula>"-"</formula>
    </cfRule>
  </conditionalFormatting>
  <conditionalFormatting sqref="K23">
    <cfRule type="expression" dxfId="1407" priority="140" stopIfTrue="1">
      <formula>ISBLANK(K23)</formula>
    </cfRule>
    <cfRule type="cellIs" dxfId="1406" priority="141" stopIfTrue="1" operator="equal">
      <formula>"Pasa"</formula>
    </cfRule>
    <cfRule type="cellIs" dxfId="1405" priority="142" stopIfTrue="1" operator="equal">
      <formula>"Falla"</formula>
    </cfRule>
    <cfRule type="cellIs" dxfId="1404" priority="143" stopIfTrue="1" operator="equal">
      <formula>"N/A"</formula>
    </cfRule>
    <cfRule type="cellIs" dxfId="1403" priority="144" stopIfTrue="1" operator="equal">
      <formula>"N/T"</formula>
    </cfRule>
    <cfRule type="cellIs" dxfId="1402" priority="145" stopIfTrue="1" operator="equal">
      <formula>"N/D"</formula>
    </cfRule>
  </conditionalFormatting>
  <conditionalFormatting sqref="K24">
    <cfRule type="expression" dxfId="1401" priority="134" stopIfTrue="1">
      <formula>ISBLANK(K24)</formula>
    </cfRule>
    <cfRule type="cellIs" dxfId="1400" priority="135" stopIfTrue="1" operator="equal">
      <formula>"Pasa"</formula>
    </cfRule>
    <cfRule type="cellIs" dxfId="1399" priority="136" stopIfTrue="1" operator="equal">
      <formula>"Falla"</formula>
    </cfRule>
    <cfRule type="cellIs" dxfId="1398" priority="137" stopIfTrue="1" operator="equal">
      <formula>"N/A"</formula>
    </cfRule>
    <cfRule type="cellIs" dxfId="1397" priority="138" stopIfTrue="1" operator="equal">
      <formula>"N/T"</formula>
    </cfRule>
    <cfRule type="cellIs" dxfId="1396" priority="139" stopIfTrue="1" operator="equal">
      <formula>"N/D"</formula>
    </cfRule>
  </conditionalFormatting>
  <conditionalFormatting sqref="D19">
    <cfRule type="expression" dxfId="1395" priority="128" stopIfTrue="1">
      <formula>ISBLANK(D19)</formula>
    </cfRule>
    <cfRule type="cellIs" dxfId="1394" priority="129" stopIfTrue="1" operator="equal">
      <formula>"Pasa"</formula>
    </cfRule>
    <cfRule type="cellIs" dxfId="1393" priority="130" stopIfTrue="1" operator="equal">
      <formula>"Falla"</formula>
    </cfRule>
    <cfRule type="cellIs" dxfId="1392" priority="131" stopIfTrue="1" operator="equal">
      <formula>"N/A"</formula>
    </cfRule>
    <cfRule type="cellIs" dxfId="1391" priority="132" stopIfTrue="1" operator="equal">
      <formula>"N/T"</formula>
    </cfRule>
    <cfRule type="cellIs" dxfId="1390" priority="133" stopIfTrue="1" operator="equal">
      <formula>"N/D"</formula>
    </cfRule>
  </conditionalFormatting>
  <conditionalFormatting sqref="D19">
    <cfRule type="cellIs" dxfId="1389" priority="127" stopIfTrue="1" operator="equal">
      <formula>"-"</formula>
    </cfRule>
  </conditionalFormatting>
  <conditionalFormatting sqref="D20">
    <cfRule type="expression" dxfId="1388" priority="121" stopIfTrue="1">
      <formula>ISBLANK(D20)</formula>
    </cfRule>
    <cfRule type="cellIs" dxfId="1387" priority="122" stopIfTrue="1" operator="equal">
      <formula>"Pasa"</formula>
    </cfRule>
    <cfRule type="cellIs" dxfId="1386" priority="123" stopIfTrue="1" operator="equal">
      <formula>"Falla"</formula>
    </cfRule>
    <cfRule type="cellIs" dxfId="1385" priority="124" stopIfTrue="1" operator="equal">
      <formula>"N/A"</formula>
    </cfRule>
    <cfRule type="cellIs" dxfId="1384" priority="125" stopIfTrue="1" operator="equal">
      <formula>"N/T"</formula>
    </cfRule>
    <cfRule type="cellIs" dxfId="1383" priority="126" stopIfTrue="1" operator="equal">
      <formula>"N/D"</formula>
    </cfRule>
  </conditionalFormatting>
  <conditionalFormatting sqref="D20">
    <cfRule type="cellIs" dxfId="1382" priority="120" stopIfTrue="1" operator="equal">
      <formula>"-"</formula>
    </cfRule>
  </conditionalFormatting>
  <conditionalFormatting sqref="D57">
    <cfRule type="expression" dxfId="1381" priority="114" stopIfTrue="1">
      <formula>ISBLANK(D57)</formula>
    </cfRule>
    <cfRule type="cellIs" dxfId="1380" priority="115" stopIfTrue="1" operator="equal">
      <formula>"Pasa"</formula>
    </cfRule>
    <cfRule type="cellIs" dxfId="1379" priority="116" stopIfTrue="1" operator="equal">
      <formula>"Falla"</formula>
    </cfRule>
    <cfRule type="cellIs" dxfId="1378" priority="117" stopIfTrue="1" operator="equal">
      <formula>"N/A"</formula>
    </cfRule>
    <cfRule type="cellIs" dxfId="1377" priority="118" stopIfTrue="1" operator="equal">
      <formula>"N/T"</formula>
    </cfRule>
    <cfRule type="cellIs" dxfId="1376" priority="119" stopIfTrue="1" operator="equal">
      <formula>"N/D"</formula>
    </cfRule>
  </conditionalFormatting>
  <conditionalFormatting sqref="D57">
    <cfRule type="cellIs" dxfId="1375" priority="113" stopIfTrue="1" operator="equal">
      <formula>"-"</formula>
    </cfRule>
  </conditionalFormatting>
  <conditionalFormatting sqref="D58">
    <cfRule type="expression" dxfId="1374" priority="107" stopIfTrue="1">
      <formula>ISBLANK(D58)</formula>
    </cfRule>
    <cfRule type="cellIs" dxfId="1373" priority="108" stopIfTrue="1" operator="equal">
      <formula>"Pasa"</formula>
    </cfRule>
    <cfRule type="cellIs" dxfId="1372" priority="109" stopIfTrue="1" operator="equal">
      <formula>"Falla"</formula>
    </cfRule>
    <cfRule type="cellIs" dxfId="1371" priority="110" stopIfTrue="1" operator="equal">
      <formula>"N/A"</formula>
    </cfRule>
    <cfRule type="cellIs" dxfId="1370" priority="111" stopIfTrue="1" operator="equal">
      <formula>"N/T"</formula>
    </cfRule>
    <cfRule type="cellIs" dxfId="1369" priority="112" stopIfTrue="1" operator="equal">
      <formula>"N/D"</formula>
    </cfRule>
  </conditionalFormatting>
  <conditionalFormatting sqref="D58">
    <cfRule type="cellIs" dxfId="1368" priority="106" stopIfTrue="1" operator="equal">
      <formula>"-"</formula>
    </cfRule>
  </conditionalFormatting>
  <conditionalFormatting sqref="D95">
    <cfRule type="expression" dxfId="1367" priority="100" stopIfTrue="1">
      <formula>ISBLANK(D95)</formula>
    </cfRule>
    <cfRule type="cellIs" dxfId="1366" priority="101" stopIfTrue="1" operator="equal">
      <formula>"Pasa"</formula>
    </cfRule>
    <cfRule type="cellIs" dxfId="1365" priority="102" stopIfTrue="1" operator="equal">
      <formula>"Falla"</formula>
    </cfRule>
    <cfRule type="cellIs" dxfId="1364" priority="103" stopIfTrue="1" operator="equal">
      <formula>"N/A"</formula>
    </cfRule>
    <cfRule type="cellIs" dxfId="1363" priority="104" stopIfTrue="1" operator="equal">
      <formula>"N/T"</formula>
    </cfRule>
    <cfRule type="cellIs" dxfId="1362" priority="105" stopIfTrue="1" operator="equal">
      <formula>"N/D"</formula>
    </cfRule>
  </conditionalFormatting>
  <conditionalFormatting sqref="D95">
    <cfRule type="cellIs" dxfId="1361" priority="99" stopIfTrue="1" operator="equal">
      <formula>"-"</formula>
    </cfRule>
  </conditionalFormatting>
  <conditionalFormatting sqref="D96">
    <cfRule type="expression" dxfId="1360" priority="93" stopIfTrue="1">
      <formula>ISBLANK(D96)</formula>
    </cfRule>
    <cfRule type="cellIs" dxfId="1359" priority="94" stopIfTrue="1" operator="equal">
      <formula>"Pasa"</formula>
    </cfRule>
    <cfRule type="cellIs" dxfId="1358" priority="95" stopIfTrue="1" operator="equal">
      <formula>"Falla"</formula>
    </cfRule>
    <cfRule type="cellIs" dxfId="1357" priority="96" stopIfTrue="1" operator="equal">
      <formula>"N/A"</formula>
    </cfRule>
    <cfRule type="cellIs" dxfId="1356" priority="97" stopIfTrue="1" operator="equal">
      <formula>"N/T"</formula>
    </cfRule>
    <cfRule type="cellIs" dxfId="1355" priority="98" stopIfTrue="1" operator="equal">
      <formula>"N/D"</formula>
    </cfRule>
  </conditionalFormatting>
  <conditionalFormatting sqref="D96">
    <cfRule type="cellIs" dxfId="1354" priority="92" stopIfTrue="1" operator="equal">
      <formula>"-"</formula>
    </cfRule>
  </conditionalFormatting>
  <conditionalFormatting sqref="D133">
    <cfRule type="expression" dxfId="1353" priority="72" stopIfTrue="1">
      <formula>ISBLANK(D133)</formula>
    </cfRule>
    <cfRule type="cellIs" dxfId="1352" priority="73" stopIfTrue="1" operator="equal">
      <formula>"Pasa"</formula>
    </cfRule>
    <cfRule type="cellIs" dxfId="1351" priority="74" stopIfTrue="1" operator="equal">
      <formula>"Falla"</formula>
    </cfRule>
    <cfRule type="cellIs" dxfId="1350" priority="75" stopIfTrue="1" operator="equal">
      <formula>"N/A"</formula>
    </cfRule>
    <cfRule type="cellIs" dxfId="1349" priority="76" stopIfTrue="1" operator="equal">
      <formula>"N/T"</formula>
    </cfRule>
    <cfRule type="cellIs" dxfId="1348" priority="77" stopIfTrue="1" operator="equal">
      <formula>"N/D"</formula>
    </cfRule>
  </conditionalFormatting>
  <conditionalFormatting sqref="D133">
    <cfRule type="cellIs" dxfId="1347" priority="71" stopIfTrue="1" operator="equal">
      <formula>"-"</formula>
    </cfRule>
  </conditionalFormatting>
  <conditionalFormatting sqref="D134">
    <cfRule type="expression" dxfId="1346" priority="65" stopIfTrue="1">
      <formula>ISBLANK(D134)</formula>
    </cfRule>
    <cfRule type="cellIs" dxfId="1345" priority="66" stopIfTrue="1" operator="equal">
      <formula>"Pasa"</formula>
    </cfRule>
    <cfRule type="cellIs" dxfId="1344" priority="67" stopIfTrue="1" operator="equal">
      <formula>"Falla"</formula>
    </cfRule>
    <cfRule type="cellIs" dxfId="1343" priority="68" stopIfTrue="1" operator="equal">
      <formula>"N/A"</formula>
    </cfRule>
    <cfRule type="cellIs" dxfId="1342" priority="69" stopIfTrue="1" operator="equal">
      <formula>"N/T"</formula>
    </cfRule>
    <cfRule type="cellIs" dxfId="1341" priority="70" stopIfTrue="1" operator="equal">
      <formula>"N/D"</formula>
    </cfRule>
  </conditionalFormatting>
  <conditionalFormatting sqref="D134">
    <cfRule type="cellIs" dxfId="1340" priority="64" stopIfTrue="1" operator="equal">
      <formula>"-"</formula>
    </cfRule>
  </conditionalFormatting>
  <conditionalFormatting sqref="D171">
    <cfRule type="expression" dxfId="1339" priority="58" stopIfTrue="1">
      <formula>ISBLANK(D171)</formula>
    </cfRule>
    <cfRule type="cellIs" dxfId="1338" priority="59" stopIfTrue="1" operator="equal">
      <formula>"Pasa"</formula>
    </cfRule>
    <cfRule type="cellIs" dxfId="1337" priority="60" stopIfTrue="1" operator="equal">
      <formula>"Falla"</formula>
    </cfRule>
    <cfRule type="cellIs" dxfId="1336" priority="61" stopIfTrue="1" operator="equal">
      <formula>"N/A"</formula>
    </cfRule>
    <cfRule type="cellIs" dxfId="1335" priority="62" stopIfTrue="1" operator="equal">
      <formula>"N/T"</formula>
    </cfRule>
    <cfRule type="cellIs" dxfId="1334" priority="63" stopIfTrue="1" operator="equal">
      <formula>"N/D"</formula>
    </cfRule>
  </conditionalFormatting>
  <conditionalFormatting sqref="D171">
    <cfRule type="cellIs" dxfId="1333" priority="57" stopIfTrue="1" operator="equal">
      <formula>"-"</formula>
    </cfRule>
  </conditionalFormatting>
  <conditionalFormatting sqref="D172">
    <cfRule type="expression" dxfId="1332" priority="51" stopIfTrue="1">
      <formula>ISBLANK(D172)</formula>
    </cfRule>
    <cfRule type="cellIs" dxfId="1331" priority="52" stopIfTrue="1" operator="equal">
      <formula>"Pasa"</formula>
    </cfRule>
    <cfRule type="cellIs" dxfId="1330" priority="53" stopIfTrue="1" operator="equal">
      <formula>"Falla"</formula>
    </cfRule>
    <cfRule type="cellIs" dxfId="1329" priority="54" stopIfTrue="1" operator="equal">
      <formula>"N/A"</formula>
    </cfRule>
    <cfRule type="cellIs" dxfId="1328" priority="55" stopIfTrue="1" operator="equal">
      <formula>"N/T"</formula>
    </cfRule>
    <cfRule type="cellIs" dxfId="1327" priority="56" stopIfTrue="1" operator="equal">
      <formula>"N/D"</formula>
    </cfRule>
  </conditionalFormatting>
  <conditionalFormatting sqref="D172">
    <cfRule type="cellIs" dxfId="1326" priority="50" stopIfTrue="1" operator="equal">
      <formula>"-"</formula>
    </cfRule>
  </conditionalFormatting>
  <conditionalFormatting sqref="D209">
    <cfRule type="expression" dxfId="1325" priority="37" stopIfTrue="1">
      <formula>ISBLANK(D209)</formula>
    </cfRule>
    <cfRule type="cellIs" dxfId="1324" priority="38" stopIfTrue="1" operator="equal">
      <formula>"Pasa"</formula>
    </cfRule>
    <cfRule type="cellIs" dxfId="1323" priority="39" stopIfTrue="1" operator="equal">
      <formula>"Falla"</formula>
    </cfRule>
    <cfRule type="cellIs" dxfId="1322" priority="40" stopIfTrue="1" operator="equal">
      <formula>"N/A"</formula>
    </cfRule>
    <cfRule type="cellIs" dxfId="1321" priority="41" stopIfTrue="1" operator="equal">
      <formula>"N/T"</formula>
    </cfRule>
    <cfRule type="cellIs" dxfId="1320" priority="42" stopIfTrue="1" operator="equal">
      <formula>"N/D"</formula>
    </cfRule>
  </conditionalFormatting>
  <conditionalFormatting sqref="D209">
    <cfRule type="cellIs" dxfId="1319" priority="36" stopIfTrue="1" operator="equal">
      <formula>"-"</formula>
    </cfRule>
  </conditionalFormatting>
  <conditionalFormatting sqref="D210">
    <cfRule type="expression" dxfId="1318" priority="30" stopIfTrue="1">
      <formula>ISBLANK(D210)</formula>
    </cfRule>
    <cfRule type="cellIs" dxfId="1317" priority="31" stopIfTrue="1" operator="equal">
      <formula>"Pasa"</formula>
    </cfRule>
    <cfRule type="cellIs" dxfId="1316" priority="32" stopIfTrue="1" operator="equal">
      <formula>"Falla"</formula>
    </cfRule>
    <cfRule type="cellIs" dxfId="1315" priority="33" stopIfTrue="1" operator="equal">
      <formula>"N/A"</formula>
    </cfRule>
    <cfRule type="cellIs" dxfId="1314" priority="34" stopIfTrue="1" operator="equal">
      <formula>"N/T"</formula>
    </cfRule>
    <cfRule type="cellIs" dxfId="1313" priority="35" stopIfTrue="1" operator="equal">
      <formula>"N/D"</formula>
    </cfRule>
  </conditionalFormatting>
  <conditionalFormatting sqref="D210">
    <cfRule type="cellIs" dxfId="1312" priority="29" stopIfTrue="1" operator="equal">
      <formula>"-"</formula>
    </cfRule>
  </conditionalFormatting>
  <conditionalFormatting sqref="D247">
    <cfRule type="expression" dxfId="1311" priority="23" stopIfTrue="1">
      <formula>ISBLANK(D247)</formula>
    </cfRule>
    <cfRule type="cellIs" dxfId="1310" priority="24" stopIfTrue="1" operator="equal">
      <formula>"Pasa"</formula>
    </cfRule>
    <cfRule type="cellIs" dxfId="1309" priority="25" stopIfTrue="1" operator="equal">
      <formula>"Falla"</formula>
    </cfRule>
    <cfRule type="cellIs" dxfId="1308" priority="26" stopIfTrue="1" operator="equal">
      <formula>"N/A"</formula>
    </cfRule>
    <cfRule type="cellIs" dxfId="1307" priority="27" stopIfTrue="1" operator="equal">
      <formula>"N/T"</formula>
    </cfRule>
    <cfRule type="cellIs" dxfId="1306" priority="28" stopIfTrue="1" operator="equal">
      <formula>"N/D"</formula>
    </cfRule>
  </conditionalFormatting>
  <conditionalFormatting sqref="D247">
    <cfRule type="cellIs" dxfId="1305" priority="22" stopIfTrue="1" operator="equal">
      <formula>"-"</formula>
    </cfRule>
  </conditionalFormatting>
  <conditionalFormatting sqref="D248">
    <cfRule type="expression" dxfId="1304" priority="16" stopIfTrue="1">
      <formula>ISBLANK(D248)</formula>
    </cfRule>
    <cfRule type="cellIs" dxfId="1303" priority="17" stopIfTrue="1" operator="equal">
      <formula>"Pasa"</formula>
    </cfRule>
    <cfRule type="cellIs" dxfId="1302" priority="18" stopIfTrue="1" operator="equal">
      <formula>"Falla"</formula>
    </cfRule>
    <cfRule type="cellIs" dxfId="1301" priority="19" stopIfTrue="1" operator="equal">
      <formula>"N/A"</formula>
    </cfRule>
    <cfRule type="cellIs" dxfId="1300" priority="20" stopIfTrue="1" operator="equal">
      <formula>"N/T"</formula>
    </cfRule>
    <cfRule type="cellIs" dxfId="1299" priority="21" stopIfTrue="1" operator="equal">
      <formula>"N/D"</formula>
    </cfRule>
  </conditionalFormatting>
  <conditionalFormatting sqref="D248">
    <cfRule type="cellIs" dxfId="1298" priority="15" stopIfTrue="1" operator="equal">
      <formula>"-"</formula>
    </cfRule>
  </conditionalFormatting>
  <conditionalFormatting sqref="D285">
    <cfRule type="expression" dxfId="1297" priority="9" stopIfTrue="1">
      <formula>ISBLANK(D285)</formula>
    </cfRule>
    <cfRule type="cellIs" dxfId="1296" priority="10" stopIfTrue="1" operator="equal">
      <formula>"Pasa"</formula>
    </cfRule>
    <cfRule type="cellIs" dxfId="1295" priority="11" stopIfTrue="1" operator="equal">
      <formula>"Falla"</formula>
    </cfRule>
    <cfRule type="cellIs" dxfId="1294" priority="12" stopIfTrue="1" operator="equal">
      <formula>"N/A"</formula>
    </cfRule>
    <cfRule type="cellIs" dxfId="1293" priority="13" stopIfTrue="1" operator="equal">
      <formula>"N/T"</formula>
    </cfRule>
    <cfRule type="cellIs" dxfId="1292" priority="14" stopIfTrue="1" operator="equal">
      <formula>"N/D"</formula>
    </cfRule>
  </conditionalFormatting>
  <conditionalFormatting sqref="D285">
    <cfRule type="cellIs" dxfId="1291" priority="8" stopIfTrue="1" operator="equal">
      <formula>"-"</formula>
    </cfRule>
  </conditionalFormatting>
  <conditionalFormatting sqref="D286">
    <cfRule type="expression" dxfId="1290" priority="2" stopIfTrue="1">
      <formula>ISBLANK(D286)</formula>
    </cfRule>
    <cfRule type="cellIs" dxfId="1289" priority="3" stopIfTrue="1" operator="equal">
      <formula>"Pasa"</formula>
    </cfRule>
    <cfRule type="cellIs" dxfId="1288" priority="4" stopIfTrue="1" operator="equal">
      <formula>"Falla"</formula>
    </cfRule>
    <cfRule type="cellIs" dxfId="1287" priority="5" stopIfTrue="1" operator="equal">
      <formula>"N/A"</formula>
    </cfRule>
    <cfRule type="cellIs" dxfId="1286" priority="6" stopIfTrue="1" operator="equal">
      <formula>"N/T"</formula>
    </cfRule>
    <cfRule type="cellIs" dxfId="1285" priority="7" stopIfTrue="1" operator="equal">
      <formula>"N/D"</formula>
    </cfRule>
  </conditionalFormatting>
  <conditionalFormatting sqref="D286">
    <cfRule type="cellIs" dxfId="1284"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361" zoomScale="80" zoomScaleNormal="80" workbookViewId="0">
      <selection activeCell="D336" sqref="D330:D336"/>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0"/>
      <c r="C6" s="120"/>
      <c r="D6" s="120"/>
      <c r="E6" s="121"/>
      <c r="F6" s="120"/>
      <c r="G6" s="120"/>
      <c r="H6" s="120"/>
      <c r="I6" s="120"/>
      <c r="J6" s="120"/>
      <c r="K6" s="120"/>
      <c r="L6" s="120"/>
      <c r="M6" s="120"/>
      <c r="N6" s="18"/>
      <c r="O6" s="18"/>
    </row>
    <row r="7" spans="1:64" ht="12.65" customHeight="1">
      <c r="B7" s="18"/>
      <c r="C7" s="18"/>
      <c r="D7" s="18"/>
      <c r="E7" s="79"/>
      <c r="F7" s="18"/>
      <c r="G7" s="18"/>
      <c r="H7" s="18"/>
      <c r="I7" s="18"/>
      <c r="J7" s="18"/>
      <c r="K7" s="18"/>
      <c r="L7" s="18"/>
      <c r="M7" s="18"/>
      <c r="N7" s="18"/>
      <c r="O7" s="18"/>
    </row>
    <row r="8" spans="1:64" ht="21" customHeight="1">
      <c r="B8" s="82" t="s">
        <v>130</v>
      </c>
      <c r="C8" s="18"/>
      <c r="D8" s="79"/>
      <c r="E8" s="79"/>
      <c r="F8" s="18"/>
      <c r="G8" s="18"/>
      <c r="H8" s="18"/>
      <c r="I8" s="18"/>
      <c r="J8" s="18"/>
      <c r="K8" s="18"/>
      <c r="L8" s="18"/>
      <c r="M8" s="18"/>
      <c r="N8" s="18"/>
      <c r="O8" s="18"/>
    </row>
    <row r="9" spans="1:64" ht="30" customHeight="1">
      <c r="B9" s="235" t="s">
        <v>84</v>
      </c>
      <c r="C9" s="235"/>
      <c r="D9" s="235"/>
      <c r="E9" s="235"/>
      <c r="F9" s="235"/>
      <c r="G9" s="235"/>
      <c r="H9" s="235"/>
      <c r="I9" s="235"/>
      <c r="J9" s="235"/>
      <c r="K9" s="235"/>
      <c r="L9" s="235"/>
      <c r="M9" s="235"/>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33" t="s">
        <v>85</v>
      </c>
      <c r="C11" s="234"/>
      <c r="D11" s="26"/>
      <c r="E11" s="14"/>
      <c r="F11" s="195" t="s">
        <v>86</v>
      </c>
      <c r="G11" s="104" t="s">
        <v>87</v>
      </c>
      <c r="H11" s="196" t="s">
        <v>88</v>
      </c>
      <c r="I11" s="22"/>
      <c r="J11" s="195" t="s">
        <v>89</v>
      </c>
      <c r="K11" s="104" t="s">
        <v>87</v>
      </c>
      <c r="L11" s="196" t="s">
        <v>88</v>
      </c>
      <c r="M11" s="18"/>
      <c r="N11" s="18"/>
      <c r="O11" s="18"/>
      <c r="P11" s="18"/>
      <c r="Q11" s="18"/>
      <c r="R11" s="18"/>
      <c r="U11" s="18"/>
      <c r="V11" s="18"/>
      <c r="W11" s="18"/>
      <c r="X11" s="18"/>
      <c r="Y11" s="18"/>
    </row>
    <row r="12" spans="1:64" ht="12" customHeight="1">
      <c r="B12" s="107" t="s">
        <v>90</v>
      </c>
      <c r="C12" s="197">
        <f>COUNTIF($B$18:$B$4076,B12)</f>
        <v>9</v>
      </c>
      <c r="D12" s="26"/>
      <c r="E12" s="14"/>
      <c r="F12" s="198" t="s">
        <v>91</v>
      </c>
      <c r="G12" s="72">
        <f ca="1">J20+J58+J96+J134+J172+J210+J248+J286+J324</f>
        <v>0</v>
      </c>
      <c r="H12" s="42">
        <f ca="1">IF(($G$15+$K$15)=0,0,G12/($G$15+$K$15))</f>
        <v>0</v>
      </c>
      <c r="I12" s="26"/>
      <c r="J12" s="182" t="s">
        <v>92</v>
      </c>
      <c r="K12" s="72">
        <f ca="1">G20+G58+G96+G134+G172+G210+G248+G286+G324</f>
        <v>0</v>
      </c>
      <c r="L12" s="42">
        <f ca="1">IF(($G$15+$K$15)=0,0,K12/($G$15+$K$15))</f>
        <v>0</v>
      </c>
      <c r="M12" s="18"/>
      <c r="N12" s="18"/>
      <c r="O12" s="18"/>
      <c r="P12" s="18"/>
      <c r="Q12" s="18"/>
      <c r="R12" s="18"/>
      <c r="U12" s="18"/>
      <c r="V12" s="18"/>
      <c r="W12" s="18"/>
      <c r="X12" s="18"/>
      <c r="Y12" s="18"/>
    </row>
    <row r="13" spans="1:64" ht="12" customHeight="1">
      <c r="B13" s="107"/>
      <c r="C13" s="197"/>
      <c r="D13" s="26"/>
      <c r="E13" s="14"/>
      <c r="F13" s="198" t="s">
        <v>93</v>
      </c>
      <c r="G13" s="72">
        <f ca="1">I20+I58+I96+I134+I172+I210+I248+I286+I324</f>
        <v>0</v>
      </c>
      <c r="H13" s="42">
        <f ca="1">IF(($G$15+$K$15)=0,0,G13/($G$15+$K$15))</f>
        <v>0</v>
      </c>
      <c r="I13" s="26"/>
      <c r="J13" s="182" t="s">
        <v>94</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199" t="s">
        <v>95</v>
      </c>
      <c r="C14" s="200">
        <f>C12+C13</f>
        <v>9</v>
      </c>
      <c r="D14" s="26"/>
      <c r="E14" s="14"/>
      <c r="F14" s="198" t="s">
        <v>96</v>
      </c>
      <c r="G14" s="72">
        <f ca="1">H20+H58+H96+H134+H172+H210+H248+H286+H324</f>
        <v>126</v>
      </c>
      <c r="H14" s="42">
        <f ca="1">IF(($G$15+$K$15)=0,0,G14/($G$15+$K$15))</f>
        <v>1</v>
      </c>
      <c r="I14" s="26"/>
      <c r="J14" s="182" t="s">
        <v>97</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199" t="s">
        <v>95</v>
      </c>
      <c r="G15" s="202">
        <f ca="1">SUM(G12:G14)</f>
        <v>126</v>
      </c>
      <c r="H15" s="203">
        <f ca="1">SUM(H12:H14)</f>
        <v>1</v>
      </c>
      <c r="I15" s="26"/>
      <c r="J15" s="199" t="s">
        <v>95</v>
      </c>
      <c r="K15" s="202">
        <f ca="1">SUM(K12:K13)</f>
        <v>0</v>
      </c>
      <c r="L15" s="203">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2" t="s">
        <v>98</v>
      </c>
      <c r="B18" s="23" t="s">
        <v>90</v>
      </c>
      <c r="C18" s="24" t="s">
        <v>131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103</v>
      </c>
      <c r="E19" s="79" t="str">
        <f t="shared" ref="E19:E53" si="0">IF(D19&lt;&gt;"",IF(AND(B19&lt;&gt;"",C19&lt;&gt;""),"","ERR"),"")</f>
        <v/>
      </c>
      <c r="F19" s="86" t="s">
        <v>101</v>
      </c>
      <c r="G19" s="87" t="s">
        <v>102</v>
      </c>
      <c r="H19" s="88" t="s">
        <v>103</v>
      </c>
      <c r="I19" s="89" t="s">
        <v>93</v>
      </c>
      <c r="J19" s="90" t="s">
        <v>91</v>
      </c>
      <c r="K19" s="178"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Aviso legal</v>
      </c>
      <c r="C20" s="85" t="str" cm="1">
        <f t="array" ref="C20">IFERROR(INDEX('03.Muestra'!$F$8:$F$42,SMALL(IF("Página Web"='03.Muestra'!$D$8:$D$42,ROW('03.Muestra'!$F$8:$F$42)-MIN(ROW('03.Muestra'!$D$8:$D$42))+1,""),ROW()-18)),"")</f>
        <v>https://www.comunidad.madrid/transparencia/aviso-legal</v>
      </c>
      <c r="D20" s="99" t="s">
        <v>103</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79">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Accesibilidad</v>
      </c>
      <c r="C21" s="85" t="str" cm="1">
        <f t="array" ref="C21">IFERROR(INDEX('03.Muestra'!$F$8:$F$42,SMALL(IF("Página Web"='03.Muestra'!$D$8:$D$42,ROW('03.Muestra'!$F$8:$F$42)-MIN(ROW('03.Muestra'!$D$8:$D$42))+1,""),ROW()-18)),"")</f>
        <v>https://www.comunidad.madrid/transparencia/declaracion-accesibilidad</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Tranparencia</v>
      </c>
      <c r="C22" s="85" t="str" cm="1">
        <f t="array" ref="C22">IFERROR(INDEX('03.Muestra'!$F$8:$F$42,SMALL(IF("Página Web"='03.Muestra'!$D$8:$D$42,ROW('03.Muestra'!$F$8:$F$42)-MIN(ROW('03.Muestra'!$D$8:$D$42))+1,""),ROW()-18)),"")</f>
        <v>https://www.comunidad.madrid/transparencia/que-es-transparencia</v>
      </c>
      <c r="D22" s="99" t="s">
        <v>103</v>
      </c>
      <c r="E22" s="79" t="str">
        <f t="shared" si="0"/>
        <v/>
      </c>
      <c r="F22" s="18"/>
      <c r="G22" s="18"/>
      <c r="H22" s="18"/>
      <c r="I22" s="18"/>
      <c r="K22" s="169"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Organización</v>
      </c>
      <c r="C23" s="85" t="str" cm="1">
        <f t="array" ref="C23">IFERROR(INDEX('03.Muestra'!$F$8:$F$42,SMALL(IF("Página Web"='03.Muestra'!$D$8:$D$42,ROW('03.Muestra'!$F$8:$F$42)-MIN(ROW('03.Muestra'!$D$8:$D$42))+1,""),ROW()-18)),"")</f>
        <v>https://www.comunidad.madrid/transparencia/organizacion-recursos/organizacion</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Quejas</v>
      </c>
      <c r="C24" s="85" t="str" cm="1">
        <f t="array" ref="C24">IFERROR(INDEX('03.Muestra'!$F$8:$F$42,SMALL(IF("Página Web"='03.Muestra'!$D$8:$D$42,ROW('03.Muestra'!$F$8:$F$42)-MIN(ROW('03.Muestra'!$D$8:$D$42))+1,""),ROW()-18)),"")</f>
        <v>https://www.comunidad.madrid/transparencia/quejas-y-reclamaciones</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Contratos</v>
      </c>
      <c r="C25" s="85" t="str" cm="1">
        <f t="array" ref="C25">IFERROR(INDEX('03.Muestra'!$F$8:$F$42,SMALL(IF("Página Web"='03.Muestra'!$D$8:$D$42,ROW('03.Muestra'!$F$8:$F$42)-MIN(ROW('03.Muestra'!$D$8:$D$42))+1,""),ROW()-18)),"")</f>
        <v>https://www.comunidad.madrid/transparencia/contratos</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v>
      </c>
      <c r="C26" s="85" t="str" cm="1">
        <f t="array" ref="C26">IFERROR(INDEX('03.Muestra'!$F$8:$F$42,SMALL(IF("Página Web"='03.Muestra'!$D$8:$D$42,ROW('03.Muestra'!$F$8:$F$42)-MIN(ROW('03.Muestra'!$D$8:$D$42))+1,""),ROW()-18)),"")</f>
        <v>https://www.comunidad.madrid/transparencia/normativa-planificacion/consulta-publica</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Proyecto</v>
      </c>
      <c r="C27" s="85" t="str" cm="1">
        <f t="array" ref="C27">IFERROR(INDEX('03.Muestra'!$F$8:$F$42,SMALL(IF("Página Web"='03.Muestra'!$D$8:$D$42,ROW('03.Muestra'!$F$8:$F$42)-MIN(ROW('03.Muestra'!$D$8:$D$42))+1,""),ROW()-18)),"")</f>
        <v>https://www.comunidad.madrid/transparencia/proyecto-orden-que-se-crea-comision-farmacia-y-productos-sanitarios-cm-y-se-establece-su-composicion</v>
      </c>
      <c r="D27" s="99" t="s">
        <v>103</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Planes y Programas</v>
      </c>
      <c r="C28" s="85" t="str" cm="1">
        <f t="array" ref="C28">IFERROR(INDEX('03.Muestra'!$F$8:$F$42,SMALL(IF("Página Web"='03.Muestra'!$D$8:$D$42,ROW('03.Muestra'!$F$8:$F$42)-MIN(ROW('03.Muestra'!$D$8:$D$42))+1,""),ROW()-18)),"")</f>
        <v>https://www.comunidad.madrid/transparencia/normativa-planificacion/planes-programas</v>
      </c>
      <c r="D28" s="99" t="s">
        <v>103</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Estrategia</v>
      </c>
      <c r="C29" s="85" t="str" cm="1">
        <f t="array" ref="C29">IFERROR(INDEX('03.Muestra'!$F$8:$F$42,SMALL(IF("Página Web"='03.Muestra'!$D$8:$D$42,ROW('03.Muestra'!$F$8:$F$42)-MIN(ROW('03.Muestra'!$D$8:$D$42))+1,""),ROW()-18)),"")</f>
        <v>https://www.comunidad.madrid/transparencia/informacion-institucional/planes-programas/estrategia-seguridad-del-paciente-del-servicio-madrileno</v>
      </c>
      <c r="D29" s="99" t="s">
        <v>103</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Huella</v>
      </c>
      <c r="C30" s="85" t="str" cm="1">
        <f t="array" ref="C30">IFERROR(INDEX('03.Muestra'!$F$8:$F$42,SMALL(IF("Página Web"='03.Muestra'!$D$8:$D$42,ROW('03.Muestra'!$F$8:$F$42)-MIN(ROW('03.Muestra'!$D$8:$D$42))+1,""),ROW()-18)),"")</f>
        <v>https://www.comunidad.madrid/transparencia/normativa-planificacion/huella-normativa</v>
      </c>
      <c r="D30" s="99" t="s">
        <v>103</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Decreto</v>
      </c>
      <c r="C31" s="85" t="str" cm="1">
        <f t="array" ref="C31">IFERROR(INDEX('03.Muestra'!$F$8:$F$42,SMALL(IF("Página Web"='03.Muestra'!$D$8:$D$42,ROW('03.Muestra'!$F$8:$F$42)-MIN(ROW('03.Muestra'!$D$8:$D$42))+1,""),ROW()-18)),"")</f>
        <v>https://www.comunidad.madrid/transparencia/decreto-del-consejo-gobierno-que-se-establece-estructura-organica-consejeria-familia-juventud-y</v>
      </c>
      <c r="D31" s="99" t="s">
        <v>103</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Entidades Locales</v>
      </c>
      <c r="C32" s="85" t="str" cm="1">
        <f t="array" ref="C32">IFERROR(INDEX('03.Muestra'!$F$8:$F$42,SMALL(IF("Página Web"='03.Muestra'!$D$8:$D$42,ROW('03.Muestra'!$F$8:$F$42)-MIN(ROW('03.Muestra'!$D$8:$D$42))+1,""),ROW()-18)),"")</f>
        <v>https://www.comunidad.madrid/transparencia/entidades-locales</v>
      </c>
      <c r="D32" s="99" t="s">
        <v>103</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2" t="s">
        <v>98</v>
      </c>
      <c r="B56" s="23" t="s">
        <v>90</v>
      </c>
      <c r="C56" s="24" t="s">
        <v>132</v>
      </c>
      <c r="D56" s="25" t="s">
        <v>100</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103</v>
      </c>
      <c r="E57" s="79" t="str">
        <f t="shared" ref="E57:E91" si="2">IF(D57&lt;&gt;"",IF(AND(B57&lt;&gt;"",C57&lt;&gt;""),"","ERR"),"")</f>
        <v/>
      </c>
      <c r="F57" s="86" t="s">
        <v>101</v>
      </c>
      <c r="G57" s="87" t="s">
        <v>102</v>
      </c>
      <c r="H57" s="88" t="s">
        <v>103</v>
      </c>
      <c r="I57" s="89" t="s">
        <v>93</v>
      </c>
      <c r="J57" s="90" t="s">
        <v>91</v>
      </c>
      <c r="K57" s="178" t="s">
        <v>97</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Aviso legal</v>
      </c>
      <c r="C58" s="85" t="str" cm="1">
        <f t="array" ref="C58">IFERROR(INDEX('03.Muestra'!$F$8:$F$42,SMALL(IF("Página Web"='03.Muestra'!$D$8:$D$42,ROW('03.Muestra'!$F$8:$F$42)-MIN(ROW('03.Muestra'!$D$8:$D$42))+1,""),ROW()-56)),"")</f>
        <v>https://www.comunidad.madrid/transparencia/aviso-legal</v>
      </c>
      <c r="D58" s="99" t="s">
        <v>103</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79">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Accesibilidad</v>
      </c>
      <c r="C59" s="85" t="str" cm="1">
        <f t="array" ref="C59">IFERROR(INDEX('03.Muestra'!$F$8:$F$42,SMALL(IF("Página Web"='03.Muestra'!$D$8:$D$42,ROW('03.Muestra'!$F$8:$F$42)-MIN(ROW('03.Muestra'!$D$8:$D$42))+1,""),ROW()-56)),"")</f>
        <v>https://www.comunidad.madrid/transparencia/declaracion-accesibilidad</v>
      </c>
      <c r="D59" s="99" t="s">
        <v>103</v>
      </c>
      <c r="E59" s="79" t="str">
        <f t="shared" si="2"/>
        <v/>
      </c>
      <c r="G59" s="18"/>
      <c r="H59" s="18"/>
      <c r="I59" s="18"/>
      <c r="J59" s="18"/>
      <c r="K59" s="183"/>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Tranparencia</v>
      </c>
      <c r="C60" s="85" t="str" cm="1">
        <f t="array" ref="C60">IFERROR(INDEX('03.Muestra'!$F$8:$F$42,SMALL(IF("Página Web"='03.Muestra'!$D$8:$D$42,ROW('03.Muestra'!$F$8:$F$42)-MIN(ROW('03.Muestra'!$D$8:$D$42))+1,""),ROW()-56)),"")</f>
        <v>https://www.comunidad.madrid/transparencia/que-es-transparencia</v>
      </c>
      <c r="D60" s="99" t="s">
        <v>103</v>
      </c>
      <c r="E60" s="79" t="str">
        <f t="shared" si="2"/>
        <v/>
      </c>
      <c r="G60" s="18"/>
      <c r="H60" s="18"/>
      <c r="I60" s="18"/>
      <c r="J60" s="18"/>
      <c r="K60" s="183"/>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Organización</v>
      </c>
      <c r="C61" s="85" t="str" cm="1">
        <f t="array" ref="C61">IFERROR(INDEX('03.Muestra'!$F$8:$F$42,SMALL(IF("Página Web"='03.Muestra'!$D$8:$D$42,ROW('03.Muestra'!$F$8:$F$42)-MIN(ROW('03.Muestra'!$D$8:$D$42))+1,""),ROW()-56)),"")</f>
        <v>https://www.comunidad.madrid/transparencia/organizacion-recursos/organizacion</v>
      </c>
      <c r="D61" s="99" t="s">
        <v>103</v>
      </c>
      <c r="E61" s="79" t="str">
        <f t="shared" si="2"/>
        <v/>
      </c>
      <c r="G61" s="18"/>
      <c r="H61" s="18"/>
      <c r="I61" s="18"/>
      <c r="J61" s="18"/>
      <c r="K61" s="183"/>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Quejas</v>
      </c>
      <c r="C62" s="85" t="str" cm="1">
        <f t="array" ref="C62">IFERROR(INDEX('03.Muestra'!$F$8:$F$42,SMALL(IF("Página Web"='03.Muestra'!$D$8:$D$42,ROW('03.Muestra'!$F$8:$F$42)-MIN(ROW('03.Muestra'!$D$8:$D$42))+1,""),ROW()-56)),"")</f>
        <v>https://www.comunidad.madrid/transparencia/quejas-y-reclamaciones</v>
      </c>
      <c r="D62" s="99" t="s">
        <v>103</v>
      </c>
      <c r="E62" s="79" t="str">
        <f t="shared" si="2"/>
        <v/>
      </c>
      <c r="G62" s="18"/>
      <c r="H62" s="18"/>
      <c r="I62" s="18"/>
      <c r="J62" s="18"/>
      <c r="K62" s="183"/>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Contratos</v>
      </c>
      <c r="C63" s="85" t="str" cm="1">
        <f t="array" ref="C63">IFERROR(INDEX('03.Muestra'!$F$8:$F$42,SMALL(IF("Página Web"='03.Muestra'!$D$8:$D$42,ROW('03.Muestra'!$F$8:$F$42)-MIN(ROW('03.Muestra'!$D$8:$D$42))+1,""),ROW()-56)),"")</f>
        <v>https://www.comunidad.madrid/transparencia/contratos</v>
      </c>
      <c r="D63" s="99" t="s">
        <v>103</v>
      </c>
      <c r="E63" s="79" t="str">
        <f t="shared" si="2"/>
        <v/>
      </c>
      <c r="F63" s="18"/>
      <c r="G63" s="18"/>
      <c r="H63" s="18"/>
      <c r="I63" s="18"/>
      <c r="J63" s="18"/>
      <c r="K63" s="183"/>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v>
      </c>
      <c r="C64" s="85" t="str" cm="1">
        <f t="array" ref="C64">IFERROR(INDEX('03.Muestra'!$F$8:$F$42,SMALL(IF("Página Web"='03.Muestra'!$D$8:$D$42,ROW('03.Muestra'!$F$8:$F$42)-MIN(ROW('03.Muestra'!$D$8:$D$42))+1,""),ROW()-56)),"")</f>
        <v>https://www.comunidad.madrid/transparencia/normativa-planificacion/consulta-publica</v>
      </c>
      <c r="D64" s="99" t="s">
        <v>103</v>
      </c>
      <c r="E64" s="79" t="str">
        <f t="shared" si="2"/>
        <v/>
      </c>
      <c r="F64" s="18"/>
      <c r="G64" s="18"/>
      <c r="H64" s="18"/>
      <c r="I64" s="18"/>
      <c r="J64" s="18"/>
      <c r="K64" s="183"/>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Proyecto</v>
      </c>
      <c r="C65" s="85" t="str" cm="1">
        <f t="array" ref="C65">IFERROR(INDEX('03.Muestra'!$F$8:$F$42,SMALL(IF("Página Web"='03.Muestra'!$D$8:$D$42,ROW('03.Muestra'!$F$8:$F$42)-MIN(ROW('03.Muestra'!$D$8:$D$42))+1,""),ROW()-56)),"")</f>
        <v>https://www.comunidad.madrid/transparencia/proyecto-orden-que-se-crea-comision-farmacia-y-productos-sanitarios-cm-y-se-establece-su-composicion</v>
      </c>
      <c r="D65" s="99" t="s">
        <v>103</v>
      </c>
      <c r="E65" s="79" t="str">
        <f t="shared" si="2"/>
        <v/>
      </c>
      <c r="F65" s="18"/>
      <c r="G65" s="18"/>
      <c r="H65" s="18"/>
      <c r="I65" s="18"/>
      <c r="J65" s="18"/>
      <c r="K65" s="183"/>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Planes y Programas</v>
      </c>
      <c r="C66" s="85" t="str" cm="1">
        <f t="array" ref="C66">IFERROR(INDEX('03.Muestra'!$F$8:$F$42,SMALL(IF("Página Web"='03.Muestra'!$D$8:$D$42,ROW('03.Muestra'!$F$8:$F$42)-MIN(ROW('03.Muestra'!$D$8:$D$42))+1,""),ROW()-56)),"")</f>
        <v>https://www.comunidad.madrid/transparencia/normativa-planificacion/planes-programas</v>
      </c>
      <c r="D66" s="99" t="s">
        <v>103</v>
      </c>
      <c r="E66" s="79" t="str">
        <f t="shared" si="2"/>
        <v/>
      </c>
      <c r="F66" s="18"/>
      <c r="G66" s="18"/>
      <c r="H66" s="18"/>
      <c r="I66" s="18"/>
      <c r="J66" s="18"/>
      <c r="K66" s="183"/>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Estrategia</v>
      </c>
      <c r="C67" s="85" t="str" cm="1">
        <f t="array" ref="C67">IFERROR(INDEX('03.Muestra'!$F$8:$F$42,SMALL(IF("Página Web"='03.Muestra'!$D$8:$D$42,ROW('03.Muestra'!$F$8:$F$42)-MIN(ROW('03.Muestra'!$D$8:$D$42))+1,""),ROW()-56)),"")</f>
        <v>https://www.comunidad.madrid/transparencia/informacion-institucional/planes-programas/estrategia-seguridad-del-paciente-del-servicio-madrileno</v>
      </c>
      <c r="D67" s="99" t="s">
        <v>103</v>
      </c>
      <c r="E67" s="79" t="str">
        <f t="shared" si="2"/>
        <v/>
      </c>
      <c r="F67" s="18"/>
      <c r="G67" s="18"/>
      <c r="H67" s="18"/>
      <c r="I67" s="18"/>
      <c r="J67" s="18"/>
      <c r="K67" s="183"/>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Huella</v>
      </c>
      <c r="C68" s="85" t="str" cm="1">
        <f t="array" ref="C68">IFERROR(INDEX('03.Muestra'!$F$8:$F$42,SMALL(IF("Página Web"='03.Muestra'!$D$8:$D$42,ROW('03.Muestra'!$F$8:$F$42)-MIN(ROW('03.Muestra'!$D$8:$D$42))+1,""),ROW()-56)),"")</f>
        <v>https://www.comunidad.madrid/transparencia/normativa-planificacion/huella-normativa</v>
      </c>
      <c r="D68" s="99" t="s">
        <v>103</v>
      </c>
      <c r="E68" s="79" t="str">
        <f t="shared" si="2"/>
        <v/>
      </c>
      <c r="F68" s="18"/>
      <c r="G68" s="18"/>
      <c r="H68" s="18"/>
      <c r="I68" s="18"/>
      <c r="J68" s="18"/>
      <c r="K68" s="183"/>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Decreto</v>
      </c>
      <c r="C69" s="85" t="str" cm="1">
        <f t="array" ref="C69">IFERROR(INDEX('03.Muestra'!$F$8:$F$42,SMALL(IF("Página Web"='03.Muestra'!$D$8:$D$42,ROW('03.Muestra'!$F$8:$F$42)-MIN(ROW('03.Muestra'!$D$8:$D$42))+1,""),ROW()-56)),"")</f>
        <v>https://www.comunidad.madrid/transparencia/decreto-del-consejo-gobierno-que-se-establece-estructura-organica-consejeria-familia-juventud-y</v>
      </c>
      <c r="D69" s="99" t="s">
        <v>103</v>
      </c>
      <c r="E69" s="79" t="str">
        <f t="shared" si="2"/>
        <v/>
      </c>
      <c r="F69" s="18"/>
      <c r="G69" s="18"/>
      <c r="H69" s="18"/>
      <c r="I69" s="18"/>
      <c r="J69" s="18"/>
      <c r="K69" s="183"/>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Entidades Locales</v>
      </c>
      <c r="C70" s="85" t="str" cm="1">
        <f t="array" ref="C70">IFERROR(INDEX('03.Muestra'!$F$8:$F$42,SMALL(IF("Página Web"='03.Muestra'!$D$8:$D$42,ROW('03.Muestra'!$F$8:$F$42)-MIN(ROW('03.Muestra'!$D$8:$D$42))+1,""),ROW()-56)),"")</f>
        <v>https://www.comunidad.madrid/transparencia/entidades-locales</v>
      </c>
      <c r="D70" s="99" t="s">
        <v>103</v>
      </c>
      <c r="E70" s="79" t="str">
        <f t="shared" si="2"/>
        <v/>
      </c>
      <c r="F70" s="18"/>
      <c r="G70" s="18"/>
      <c r="H70" s="18"/>
      <c r="I70" s="18"/>
      <c r="J70" s="18"/>
      <c r="K70" s="183"/>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3"/>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3"/>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3"/>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3"/>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3"/>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3"/>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3"/>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3"/>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3"/>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3"/>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3"/>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3"/>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3"/>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3"/>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3"/>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3"/>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3"/>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3"/>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3"/>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3"/>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3"/>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3"/>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3"/>
      <c r="L93" s="18"/>
      <c r="M93" s="18"/>
      <c r="N93" s="18"/>
      <c r="O93" s="18"/>
      <c r="P93" s="18"/>
      <c r="Q93" s="18"/>
      <c r="R93" s="18"/>
      <c r="S93" s="18"/>
      <c r="T93" s="18"/>
      <c r="U93" s="18"/>
      <c r="V93" s="18"/>
      <c r="W93" s="18"/>
      <c r="X93" s="18"/>
      <c r="Y93" s="18"/>
    </row>
    <row r="94" spans="1:25" ht="32.25" customHeight="1">
      <c r="A94" s="172" t="s">
        <v>98</v>
      </c>
      <c r="B94" s="23" t="s">
        <v>90</v>
      </c>
      <c r="C94" s="24" t="s">
        <v>133</v>
      </c>
      <c r="D94" s="25" t="s">
        <v>100</v>
      </c>
      <c r="E94" s="93"/>
      <c r="K94" s="183"/>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103</v>
      </c>
      <c r="E95" s="79" t="str">
        <f t="shared" ref="E95:E129" si="4">IF(D95&lt;&gt;"",IF(AND(B95&lt;&gt;"",C95&lt;&gt;""),"","ERR"),"")</f>
        <v/>
      </c>
      <c r="F95" s="86" t="s">
        <v>101</v>
      </c>
      <c r="G95" s="87" t="s">
        <v>102</v>
      </c>
      <c r="H95" s="88" t="s">
        <v>103</v>
      </c>
      <c r="I95" s="89" t="s">
        <v>93</v>
      </c>
      <c r="J95" s="90" t="s">
        <v>91</v>
      </c>
      <c r="K95" s="178"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Aviso legal</v>
      </c>
      <c r="C96" s="85" t="str" cm="1">
        <f t="array" ref="C96">IFERROR(INDEX('03.Muestra'!$F$8:$F$42,SMALL(IF("Página Web"='03.Muestra'!$D$8:$D$42,ROW('03.Muestra'!$F$8:$F$42)-MIN(ROW('03.Muestra'!$D$8:$D$42))+1,""),ROW()-94)),"")</f>
        <v>https://www.comunidad.madrid/transparencia/aviso-legal</v>
      </c>
      <c r="D96" s="99" t="s">
        <v>103</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79">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Accesibilidad</v>
      </c>
      <c r="C97" s="85" t="str" cm="1">
        <f t="array" ref="C97">IFERROR(INDEX('03.Muestra'!$F$8:$F$42,SMALL(IF("Página Web"='03.Muestra'!$D$8:$D$42,ROW('03.Muestra'!$F$8:$F$42)-MIN(ROW('03.Muestra'!$D$8:$D$42))+1,""),ROW()-94)),"")</f>
        <v>https://www.comunidad.madrid/transparencia/declaracion-accesibilidad</v>
      </c>
      <c r="D97" s="99" t="s">
        <v>103</v>
      </c>
      <c r="E97" s="79" t="str">
        <f t="shared" si="4"/>
        <v/>
      </c>
      <c r="G97" s="18"/>
      <c r="H97" s="18"/>
      <c r="I97" s="18"/>
      <c r="J97" s="18"/>
      <c r="K97" s="183"/>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Tranparencia</v>
      </c>
      <c r="C98" s="85" t="str" cm="1">
        <f t="array" ref="C98">IFERROR(INDEX('03.Muestra'!$F$8:$F$42,SMALL(IF("Página Web"='03.Muestra'!$D$8:$D$42,ROW('03.Muestra'!$F$8:$F$42)-MIN(ROW('03.Muestra'!$D$8:$D$42))+1,""),ROW()-94)),"")</f>
        <v>https://www.comunidad.madrid/transparencia/que-es-transparencia</v>
      </c>
      <c r="D98" s="99" t="s">
        <v>103</v>
      </c>
      <c r="E98" s="79" t="str">
        <f t="shared" si="4"/>
        <v/>
      </c>
      <c r="G98" s="18"/>
      <c r="H98" s="18"/>
      <c r="I98" s="18"/>
      <c r="J98" s="18"/>
      <c r="K98" s="183"/>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Organización</v>
      </c>
      <c r="C99" s="85" t="str" cm="1">
        <f t="array" ref="C99">IFERROR(INDEX('03.Muestra'!$F$8:$F$42,SMALL(IF("Página Web"='03.Muestra'!$D$8:$D$42,ROW('03.Muestra'!$F$8:$F$42)-MIN(ROW('03.Muestra'!$D$8:$D$42))+1,""),ROW()-94)),"")</f>
        <v>https://www.comunidad.madrid/transparencia/organizacion-recursos/organizacion</v>
      </c>
      <c r="D99" s="99" t="s">
        <v>103</v>
      </c>
      <c r="E99" s="79" t="str">
        <f t="shared" si="4"/>
        <v/>
      </c>
      <c r="G99" s="18"/>
      <c r="H99" s="18"/>
      <c r="I99" s="18"/>
      <c r="J99" s="18"/>
      <c r="K99" s="183"/>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Quejas</v>
      </c>
      <c r="C100" s="85" t="str" cm="1">
        <f t="array" ref="C100">IFERROR(INDEX('03.Muestra'!$F$8:$F$42,SMALL(IF("Página Web"='03.Muestra'!$D$8:$D$42,ROW('03.Muestra'!$F$8:$F$42)-MIN(ROW('03.Muestra'!$D$8:$D$42))+1,""),ROW()-94)),"")</f>
        <v>https://www.comunidad.madrid/transparencia/quejas-y-reclamaciones</v>
      </c>
      <c r="D100" s="99" t="s">
        <v>103</v>
      </c>
      <c r="E100" s="79" t="str">
        <f t="shared" si="4"/>
        <v/>
      </c>
      <c r="G100" s="18"/>
      <c r="H100" s="18"/>
      <c r="I100" s="18"/>
      <c r="J100" s="18"/>
      <c r="K100" s="183"/>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Contratos</v>
      </c>
      <c r="C101" s="85" t="str" cm="1">
        <f t="array" ref="C101">IFERROR(INDEX('03.Muestra'!$F$8:$F$42,SMALL(IF("Página Web"='03.Muestra'!$D$8:$D$42,ROW('03.Muestra'!$F$8:$F$42)-MIN(ROW('03.Muestra'!$D$8:$D$42))+1,""),ROW()-94)),"")</f>
        <v>https://www.comunidad.madrid/transparencia/contratos</v>
      </c>
      <c r="D101" s="99" t="s">
        <v>103</v>
      </c>
      <c r="E101" s="79" t="str">
        <f t="shared" si="4"/>
        <v/>
      </c>
      <c r="F101" s="18"/>
      <c r="G101" s="18"/>
      <c r="H101" s="18"/>
      <c r="I101" s="18"/>
      <c r="J101" s="18"/>
      <c r="K101" s="183"/>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v>
      </c>
      <c r="C102" s="85" t="str" cm="1">
        <f t="array" ref="C102">IFERROR(INDEX('03.Muestra'!$F$8:$F$42,SMALL(IF("Página Web"='03.Muestra'!$D$8:$D$42,ROW('03.Muestra'!$F$8:$F$42)-MIN(ROW('03.Muestra'!$D$8:$D$42))+1,""),ROW()-94)),"")</f>
        <v>https://www.comunidad.madrid/transparencia/normativa-planificacion/consulta-publica</v>
      </c>
      <c r="D102" s="99" t="s">
        <v>103</v>
      </c>
      <c r="E102" s="79" t="str">
        <f t="shared" si="4"/>
        <v/>
      </c>
      <c r="F102" s="18"/>
      <c r="G102" s="18"/>
      <c r="H102" s="18"/>
      <c r="I102" s="18"/>
      <c r="J102" s="18"/>
      <c r="K102" s="183"/>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Proyecto</v>
      </c>
      <c r="C103" s="85" t="str" cm="1">
        <f t="array" ref="C103">IFERROR(INDEX('03.Muestra'!$F$8:$F$42,SMALL(IF("Página Web"='03.Muestra'!$D$8:$D$42,ROW('03.Muestra'!$F$8:$F$42)-MIN(ROW('03.Muestra'!$D$8:$D$42))+1,""),ROW()-94)),"")</f>
        <v>https://www.comunidad.madrid/transparencia/proyecto-orden-que-se-crea-comision-farmacia-y-productos-sanitarios-cm-y-se-establece-su-composicion</v>
      </c>
      <c r="D103" s="99" t="s">
        <v>103</v>
      </c>
      <c r="E103" s="79" t="str">
        <f t="shared" si="4"/>
        <v/>
      </c>
      <c r="F103" s="18"/>
      <c r="G103" s="18"/>
      <c r="H103" s="18"/>
      <c r="I103" s="18"/>
      <c r="J103" s="18"/>
      <c r="K103" s="183"/>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Planes y Programas</v>
      </c>
      <c r="C104" s="85" t="str" cm="1">
        <f t="array" ref="C104">IFERROR(INDEX('03.Muestra'!$F$8:$F$42,SMALL(IF("Página Web"='03.Muestra'!$D$8:$D$42,ROW('03.Muestra'!$F$8:$F$42)-MIN(ROW('03.Muestra'!$D$8:$D$42))+1,""),ROW()-94)),"")</f>
        <v>https://www.comunidad.madrid/transparencia/normativa-planificacion/planes-programas</v>
      </c>
      <c r="D104" s="99" t="s">
        <v>103</v>
      </c>
      <c r="E104" s="79" t="str">
        <f t="shared" si="4"/>
        <v/>
      </c>
      <c r="F104" s="18"/>
      <c r="G104" s="18"/>
      <c r="H104" s="18"/>
      <c r="I104" s="18"/>
      <c r="J104" s="18"/>
      <c r="K104" s="183"/>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Estrategia</v>
      </c>
      <c r="C105" s="85" t="str" cm="1">
        <f t="array" ref="C105">IFERROR(INDEX('03.Muestra'!$F$8:$F$42,SMALL(IF("Página Web"='03.Muestra'!$D$8:$D$42,ROW('03.Muestra'!$F$8:$F$42)-MIN(ROW('03.Muestra'!$D$8:$D$42))+1,""),ROW()-94)),"")</f>
        <v>https://www.comunidad.madrid/transparencia/informacion-institucional/planes-programas/estrategia-seguridad-del-paciente-del-servicio-madrileno</v>
      </c>
      <c r="D105" s="99" t="s">
        <v>103</v>
      </c>
      <c r="E105" s="79" t="str">
        <f t="shared" si="4"/>
        <v/>
      </c>
      <c r="F105" s="18"/>
      <c r="G105" s="18"/>
      <c r="H105" s="18"/>
      <c r="I105" s="18"/>
      <c r="J105" s="18"/>
      <c r="K105" s="183"/>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Huella</v>
      </c>
      <c r="C106" s="85" t="str" cm="1">
        <f t="array" ref="C106">IFERROR(INDEX('03.Muestra'!$F$8:$F$42,SMALL(IF("Página Web"='03.Muestra'!$D$8:$D$42,ROW('03.Muestra'!$F$8:$F$42)-MIN(ROW('03.Muestra'!$D$8:$D$42))+1,""),ROW()-94)),"")</f>
        <v>https://www.comunidad.madrid/transparencia/normativa-planificacion/huella-normativa</v>
      </c>
      <c r="D106" s="99" t="s">
        <v>103</v>
      </c>
      <c r="E106" s="79" t="str">
        <f t="shared" si="4"/>
        <v/>
      </c>
      <c r="F106" s="18"/>
      <c r="G106" s="18"/>
      <c r="H106" s="18"/>
      <c r="I106" s="18"/>
      <c r="J106" s="18"/>
      <c r="K106" s="183"/>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Decreto</v>
      </c>
      <c r="C107" s="85" t="str" cm="1">
        <f t="array" ref="C107">IFERROR(INDEX('03.Muestra'!$F$8:$F$42,SMALL(IF("Página Web"='03.Muestra'!$D$8:$D$42,ROW('03.Muestra'!$F$8:$F$42)-MIN(ROW('03.Muestra'!$D$8:$D$42))+1,""),ROW()-94)),"")</f>
        <v>https://www.comunidad.madrid/transparencia/decreto-del-consejo-gobierno-que-se-establece-estructura-organica-consejeria-familia-juventud-y</v>
      </c>
      <c r="D107" s="99" t="s">
        <v>103</v>
      </c>
      <c r="E107" s="79" t="str">
        <f t="shared" si="4"/>
        <v/>
      </c>
      <c r="F107" s="18"/>
      <c r="G107" s="18"/>
      <c r="H107" s="18"/>
      <c r="I107" s="18"/>
      <c r="J107" s="18"/>
      <c r="K107" s="183"/>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Entidades Locales</v>
      </c>
      <c r="C108" s="85" t="str" cm="1">
        <f t="array" ref="C108">IFERROR(INDEX('03.Muestra'!$F$8:$F$42,SMALL(IF("Página Web"='03.Muestra'!$D$8:$D$42,ROW('03.Muestra'!$F$8:$F$42)-MIN(ROW('03.Muestra'!$D$8:$D$42))+1,""),ROW()-94)),"")</f>
        <v>https://www.comunidad.madrid/transparencia/entidades-locales</v>
      </c>
      <c r="D108" s="99" t="s">
        <v>103</v>
      </c>
      <c r="E108" s="79" t="str">
        <f t="shared" si="4"/>
        <v/>
      </c>
      <c r="F108" s="18"/>
      <c r="G108" s="18"/>
      <c r="H108" s="18"/>
      <c r="I108" s="18"/>
      <c r="J108" s="18"/>
      <c r="K108" s="183"/>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3"/>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3"/>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3"/>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3"/>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3"/>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3"/>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3"/>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3"/>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3"/>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3"/>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3"/>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3"/>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3"/>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3"/>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3"/>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3"/>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3"/>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3"/>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3"/>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3"/>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3"/>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3"/>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3"/>
      <c r="L131" s="18"/>
      <c r="M131" s="18"/>
      <c r="N131" s="18"/>
      <c r="O131" s="18"/>
      <c r="P131" s="18"/>
      <c r="Q131" s="18"/>
      <c r="R131" s="18"/>
      <c r="S131" s="18"/>
      <c r="T131" s="18"/>
      <c r="U131" s="18"/>
      <c r="V131" s="18"/>
      <c r="W131" s="18"/>
      <c r="X131" s="18"/>
      <c r="Y131" s="18"/>
    </row>
    <row r="132" spans="1:25" ht="32.25" customHeight="1">
      <c r="A132" s="172" t="s">
        <v>98</v>
      </c>
      <c r="B132" s="23" t="s">
        <v>90</v>
      </c>
      <c r="C132" s="171" t="s">
        <v>134</v>
      </c>
      <c r="D132" s="25" t="s">
        <v>100</v>
      </c>
      <c r="E132" s="93"/>
      <c r="K132" s="183"/>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103</v>
      </c>
      <c r="E133" s="79" t="str">
        <f t="shared" ref="E133:E167" si="6">IF(D133&lt;&gt;"",IF(AND(B133&lt;&gt;"",C133&lt;&gt;""),"","ERR"),"")</f>
        <v/>
      </c>
      <c r="F133" s="86" t="s">
        <v>101</v>
      </c>
      <c r="G133" s="87" t="s">
        <v>102</v>
      </c>
      <c r="H133" s="88" t="s">
        <v>103</v>
      </c>
      <c r="I133" s="89" t="s">
        <v>93</v>
      </c>
      <c r="J133" s="90" t="s">
        <v>91</v>
      </c>
      <c r="K133" s="178"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Aviso legal</v>
      </c>
      <c r="C134" s="85" t="str" cm="1">
        <f t="array" ref="C134">IFERROR(INDEX('03.Muestra'!$F$8:$F$42,SMALL(IF("Página Web"='03.Muestra'!$D$8:$D$42,ROW('03.Muestra'!$F$8:$F$42)-MIN(ROW('03.Muestra'!$D$8:$D$42))+1,""),ROW()-132)),"")</f>
        <v>https://www.comunidad.madrid/transparencia/aviso-legal</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79">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Accesibilidad</v>
      </c>
      <c r="C135" s="85" t="str" cm="1">
        <f t="array" ref="C135">IFERROR(INDEX('03.Muestra'!$F$8:$F$42,SMALL(IF("Página Web"='03.Muestra'!$D$8:$D$42,ROW('03.Muestra'!$F$8:$F$42)-MIN(ROW('03.Muestra'!$D$8:$D$42))+1,""),ROW()-132)),"")</f>
        <v>https://www.comunidad.madrid/transparencia/declaracion-accesibilidad</v>
      </c>
      <c r="D135" s="99" t="s">
        <v>103</v>
      </c>
      <c r="E135" s="79" t="str">
        <f t="shared" si="6"/>
        <v/>
      </c>
      <c r="G135" s="18"/>
      <c r="H135" s="18"/>
      <c r="I135" s="18"/>
      <c r="J135" s="18"/>
      <c r="K135" s="183"/>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Tranparencia</v>
      </c>
      <c r="C136" s="85" t="str" cm="1">
        <f t="array" ref="C136">IFERROR(INDEX('03.Muestra'!$F$8:$F$42,SMALL(IF("Página Web"='03.Muestra'!$D$8:$D$42,ROW('03.Muestra'!$F$8:$F$42)-MIN(ROW('03.Muestra'!$D$8:$D$42))+1,""),ROW()-132)),"")</f>
        <v>https://www.comunidad.madrid/transparencia/que-es-transparencia</v>
      </c>
      <c r="D136" s="99" t="s">
        <v>103</v>
      </c>
      <c r="E136" s="79" t="str">
        <f t="shared" si="6"/>
        <v/>
      </c>
      <c r="G136" s="18"/>
      <c r="H136" s="18"/>
      <c r="I136" s="18"/>
      <c r="J136" s="18"/>
      <c r="K136" s="183"/>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Organización</v>
      </c>
      <c r="C137" s="85" t="str" cm="1">
        <f t="array" ref="C137">IFERROR(INDEX('03.Muestra'!$F$8:$F$42,SMALL(IF("Página Web"='03.Muestra'!$D$8:$D$42,ROW('03.Muestra'!$F$8:$F$42)-MIN(ROW('03.Muestra'!$D$8:$D$42))+1,""),ROW()-132)),"")</f>
        <v>https://www.comunidad.madrid/transparencia/organizacion-recursos/organizacion</v>
      </c>
      <c r="D137" s="99" t="s">
        <v>103</v>
      </c>
      <c r="E137" s="79" t="str">
        <f t="shared" si="6"/>
        <v/>
      </c>
      <c r="G137" s="18"/>
      <c r="H137" s="18"/>
      <c r="I137" s="18"/>
      <c r="J137" s="18"/>
      <c r="K137" s="183"/>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Quejas</v>
      </c>
      <c r="C138" s="85" t="str" cm="1">
        <f t="array" ref="C138">IFERROR(INDEX('03.Muestra'!$F$8:$F$42,SMALL(IF("Página Web"='03.Muestra'!$D$8:$D$42,ROW('03.Muestra'!$F$8:$F$42)-MIN(ROW('03.Muestra'!$D$8:$D$42))+1,""),ROW()-132)),"")</f>
        <v>https://www.comunidad.madrid/transparencia/quejas-y-reclamaciones</v>
      </c>
      <c r="D138" s="99" t="s">
        <v>103</v>
      </c>
      <c r="E138" s="79" t="str">
        <f t="shared" si="6"/>
        <v/>
      </c>
      <c r="G138" s="18"/>
      <c r="H138" s="18"/>
      <c r="I138" s="18"/>
      <c r="J138" s="18"/>
      <c r="K138" s="183"/>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Contratos</v>
      </c>
      <c r="C139" s="85" t="str" cm="1">
        <f t="array" ref="C139">IFERROR(INDEX('03.Muestra'!$F$8:$F$42,SMALL(IF("Página Web"='03.Muestra'!$D$8:$D$42,ROW('03.Muestra'!$F$8:$F$42)-MIN(ROW('03.Muestra'!$D$8:$D$42))+1,""),ROW()-132)),"")</f>
        <v>https://www.comunidad.madrid/transparencia/contratos</v>
      </c>
      <c r="D139" s="99" t="s">
        <v>103</v>
      </c>
      <c r="E139" s="79" t="str">
        <f t="shared" si="6"/>
        <v/>
      </c>
      <c r="F139" s="18"/>
      <c r="G139" s="18"/>
      <c r="H139" s="18"/>
      <c r="I139" s="18"/>
      <c r="J139" s="18"/>
      <c r="K139" s="183"/>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v>
      </c>
      <c r="C140" s="85" t="str" cm="1">
        <f t="array" ref="C140">IFERROR(INDEX('03.Muestra'!$F$8:$F$42,SMALL(IF("Página Web"='03.Muestra'!$D$8:$D$42,ROW('03.Muestra'!$F$8:$F$42)-MIN(ROW('03.Muestra'!$D$8:$D$42))+1,""),ROW()-132)),"")</f>
        <v>https://www.comunidad.madrid/transparencia/normativa-planificacion/consulta-publica</v>
      </c>
      <c r="D140" s="99" t="s">
        <v>103</v>
      </c>
      <c r="E140" s="79" t="str">
        <f t="shared" si="6"/>
        <v/>
      </c>
      <c r="F140" s="18"/>
      <c r="G140" s="18"/>
      <c r="H140" s="18"/>
      <c r="I140" s="18"/>
      <c r="J140" s="18"/>
      <c r="K140" s="183"/>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Proyecto</v>
      </c>
      <c r="C141" s="85" t="str" cm="1">
        <f t="array" ref="C141">IFERROR(INDEX('03.Muestra'!$F$8:$F$42,SMALL(IF("Página Web"='03.Muestra'!$D$8:$D$42,ROW('03.Muestra'!$F$8:$F$42)-MIN(ROW('03.Muestra'!$D$8:$D$42))+1,""),ROW()-132)),"")</f>
        <v>https://www.comunidad.madrid/transparencia/proyecto-orden-que-se-crea-comision-farmacia-y-productos-sanitarios-cm-y-se-establece-su-composicion</v>
      </c>
      <c r="D141" s="99" t="s">
        <v>103</v>
      </c>
      <c r="E141" s="79" t="str">
        <f t="shared" si="6"/>
        <v/>
      </c>
      <c r="F141" s="18"/>
      <c r="G141" s="18"/>
      <c r="H141" s="18"/>
      <c r="I141" s="18"/>
      <c r="J141" s="18"/>
      <c r="K141" s="183"/>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Planes y Programas</v>
      </c>
      <c r="C142" s="85" t="str" cm="1">
        <f t="array" ref="C142">IFERROR(INDEX('03.Muestra'!$F$8:$F$42,SMALL(IF("Página Web"='03.Muestra'!$D$8:$D$42,ROW('03.Muestra'!$F$8:$F$42)-MIN(ROW('03.Muestra'!$D$8:$D$42))+1,""),ROW()-132)),"")</f>
        <v>https://www.comunidad.madrid/transparencia/normativa-planificacion/planes-programas</v>
      </c>
      <c r="D142" s="99" t="s">
        <v>103</v>
      </c>
      <c r="E142" s="79" t="str">
        <f t="shared" si="6"/>
        <v/>
      </c>
      <c r="F142" s="18"/>
      <c r="G142" s="18"/>
      <c r="H142" s="18"/>
      <c r="I142" s="18"/>
      <c r="J142" s="18"/>
      <c r="K142" s="183"/>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Estrategia</v>
      </c>
      <c r="C143" s="85" t="str" cm="1">
        <f t="array" ref="C143">IFERROR(INDEX('03.Muestra'!$F$8:$F$42,SMALL(IF("Página Web"='03.Muestra'!$D$8:$D$42,ROW('03.Muestra'!$F$8:$F$42)-MIN(ROW('03.Muestra'!$D$8:$D$42))+1,""),ROW()-132)),"")</f>
        <v>https://www.comunidad.madrid/transparencia/informacion-institucional/planes-programas/estrategia-seguridad-del-paciente-del-servicio-madrileno</v>
      </c>
      <c r="D143" s="99" t="s">
        <v>103</v>
      </c>
      <c r="E143" s="79" t="str">
        <f t="shared" si="6"/>
        <v/>
      </c>
      <c r="F143" s="18"/>
      <c r="G143" s="18"/>
      <c r="H143" s="18"/>
      <c r="I143" s="18"/>
      <c r="J143" s="18"/>
      <c r="K143" s="183"/>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Huella</v>
      </c>
      <c r="C144" s="85" t="str" cm="1">
        <f t="array" ref="C144">IFERROR(INDEX('03.Muestra'!$F$8:$F$42,SMALL(IF("Página Web"='03.Muestra'!$D$8:$D$42,ROW('03.Muestra'!$F$8:$F$42)-MIN(ROW('03.Muestra'!$D$8:$D$42))+1,""),ROW()-132)),"")</f>
        <v>https://www.comunidad.madrid/transparencia/normativa-planificacion/huella-normativa</v>
      </c>
      <c r="D144" s="99" t="s">
        <v>103</v>
      </c>
      <c r="E144" s="79" t="str">
        <f t="shared" si="6"/>
        <v/>
      </c>
      <c r="F144" s="18"/>
      <c r="G144" s="18"/>
      <c r="H144" s="18"/>
      <c r="I144" s="18"/>
      <c r="J144" s="18"/>
      <c r="K144" s="183"/>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Decreto</v>
      </c>
      <c r="C145" s="85" t="str" cm="1">
        <f t="array" ref="C145">IFERROR(INDEX('03.Muestra'!$F$8:$F$42,SMALL(IF("Página Web"='03.Muestra'!$D$8:$D$42,ROW('03.Muestra'!$F$8:$F$42)-MIN(ROW('03.Muestra'!$D$8:$D$42))+1,""),ROW()-132)),"")</f>
        <v>https://www.comunidad.madrid/transparencia/decreto-del-consejo-gobierno-que-se-establece-estructura-organica-consejeria-familia-juventud-y</v>
      </c>
      <c r="D145" s="99" t="s">
        <v>103</v>
      </c>
      <c r="E145" s="79" t="str">
        <f t="shared" si="6"/>
        <v/>
      </c>
      <c r="F145" s="18"/>
      <c r="G145" s="18"/>
      <c r="H145" s="18"/>
      <c r="I145" s="18"/>
      <c r="J145" s="18"/>
      <c r="K145" s="183"/>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Entidades Locales</v>
      </c>
      <c r="C146" s="85" t="str" cm="1">
        <f t="array" ref="C146">IFERROR(INDEX('03.Muestra'!$F$8:$F$42,SMALL(IF("Página Web"='03.Muestra'!$D$8:$D$42,ROW('03.Muestra'!$F$8:$F$42)-MIN(ROW('03.Muestra'!$D$8:$D$42))+1,""),ROW()-132)),"")</f>
        <v>https://www.comunidad.madrid/transparencia/entidades-locales</v>
      </c>
      <c r="D146" s="99" t="s">
        <v>103</v>
      </c>
      <c r="E146" s="79" t="str">
        <f t="shared" si="6"/>
        <v/>
      </c>
      <c r="F146" s="18"/>
      <c r="G146" s="18"/>
      <c r="H146" s="18"/>
      <c r="I146" s="18"/>
      <c r="J146" s="18"/>
      <c r="K146" s="183"/>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3"/>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3"/>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3"/>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3"/>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3"/>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3"/>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3"/>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3"/>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3"/>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3"/>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3"/>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3"/>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3"/>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3"/>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3"/>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3"/>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3"/>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3"/>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3"/>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3"/>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3"/>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3"/>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3"/>
      <c r="L169" s="18"/>
      <c r="M169" s="18"/>
      <c r="N169" s="18"/>
      <c r="O169" s="18"/>
      <c r="P169" s="18"/>
      <c r="Q169" s="18"/>
      <c r="R169" s="18"/>
      <c r="S169" s="18"/>
      <c r="T169" s="18"/>
      <c r="U169" s="18"/>
      <c r="V169" s="18"/>
      <c r="W169" s="18"/>
      <c r="X169" s="18"/>
      <c r="Y169" s="18"/>
    </row>
    <row r="170" spans="1:25" ht="32.25" customHeight="1">
      <c r="A170" s="172" t="s">
        <v>98</v>
      </c>
      <c r="B170" s="23" t="s">
        <v>90</v>
      </c>
      <c r="C170" s="171" t="s">
        <v>135</v>
      </c>
      <c r="D170" s="25" t="s">
        <v>100</v>
      </c>
      <c r="E170" s="93"/>
      <c r="K170" s="183"/>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103</v>
      </c>
      <c r="E171" s="79" t="str">
        <f t="shared" ref="E171:E205" si="8">IF(D171&lt;&gt;"",IF(AND(B171&lt;&gt;"",C171&lt;&gt;""),"","ERR"),"")</f>
        <v/>
      </c>
      <c r="F171" s="86" t="s">
        <v>101</v>
      </c>
      <c r="G171" s="87" t="s">
        <v>102</v>
      </c>
      <c r="H171" s="88" t="s">
        <v>103</v>
      </c>
      <c r="I171" s="89" t="s">
        <v>93</v>
      </c>
      <c r="J171" s="90" t="s">
        <v>91</v>
      </c>
      <c r="K171" s="178"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Aviso legal</v>
      </c>
      <c r="C172" s="85" t="str" cm="1">
        <f t="array" ref="C172">IFERROR(INDEX('03.Muestra'!$F$8:$F$42,SMALL(IF("Página Web"='03.Muestra'!$D$8:$D$42,ROW('03.Muestra'!$F$8:$F$42)-MIN(ROW('03.Muestra'!$D$8:$D$42))+1,""),ROW()-170)),"")</f>
        <v>https://www.comunidad.madrid/transparencia/aviso-legal</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79">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Accesibilidad</v>
      </c>
      <c r="C173" s="85" t="str" cm="1">
        <f t="array" ref="C173">IFERROR(INDEX('03.Muestra'!$F$8:$F$42,SMALL(IF("Página Web"='03.Muestra'!$D$8:$D$42,ROW('03.Muestra'!$F$8:$F$42)-MIN(ROW('03.Muestra'!$D$8:$D$42))+1,""),ROW()-170)),"")</f>
        <v>https://www.comunidad.madrid/transparencia/declaracion-accesibilidad</v>
      </c>
      <c r="D173" s="99" t="s">
        <v>103</v>
      </c>
      <c r="E173" s="79" t="str">
        <f t="shared" si="8"/>
        <v/>
      </c>
      <c r="G173" s="18"/>
      <c r="H173" s="18"/>
      <c r="I173" s="18"/>
      <c r="J173" s="18"/>
      <c r="K173" s="183"/>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Tranparencia</v>
      </c>
      <c r="C174" s="85" t="str" cm="1">
        <f t="array" ref="C174">IFERROR(INDEX('03.Muestra'!$F$8:$F$42,SMALL(IF("Página Web"='03.Muestra'!$D$8:$D$42,ROW('03.Muestra'!$F$8:$F$42)-MIN(ROW('03.Muestra'!$D$8:$D$42))+1,""),ROW()-170)),"")</f>
        <v>https://www.comunidad.madrid/transparencia/que-es-transparencia</v>
      </c>
      <c r="D174" s="99" t="s">
        <v>103</v>
      </c>
      <c r="E174" s="79" t="str">
        <f t="shared" si="8"/>
        <v/>
      </c>
      <c r="G174" s="18"/>
      <c r="H174" s="18"/>
      <c r="I174" s="18"/>
      <c r="J174" s="18"/>
      <c r="K174" s="183"/>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Organización</v>
      </c>
      <c r="C175" s="85" t="str" cm="1">
        <f t="array" ref="C175">IFERROR(INDEX('03.Muestra'!$F$8:$F$42,SMALL(IF("Página Web"='03.Muestra'!$D$8:$D$42,ROW('03.Muestra'!$F$8:$F$42)-MIN(ROW('03.Muestra'!$D$8:$D$42))+1,""),ROW()-170)),"")</f>
        <v>https://www.comunidad.madrid/transparencia/organizacion-recursos/organizacion</v>
      </c>
      <c r="D175" s="99" t="s">
        <v>103</v>
      </c>
      <c r="E175" s="79" t="str">
        <f t="shared" si="8"/>
        <v/>
      </c>
      <c r="G175" s="18"/>
      <c r="H175" s="18"/>
      <c r="I175" s="18"/>
      <c r="J175" s="18"/>
      <c r="K175" s="183"/>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Quejas</v>
      </c>
      <c r="C176" s="85" t="str" cm="1">
        <f t="array" ref="C176">IFERROR(INDEX('03.Muestra'!$F$8:$F$42,SMALL(IF("Página Web"='03.Muestra'!$D$8:$D$42,ROW('03.Muestra'!$F$8:$F$42)-MIN(ROW('03.Muestra'!$D$8:$D$42))+1,""),ROW()-170)),"")</f>
        <v>https://www.comunidad.madrid/transparencia/quejas-y-reclamaciones</v>
      </c>
      <c r="D176" s="99" t="s">
        <v>103</v>
      </c>
      <c r="E176" s="79" t="str">
        <f t="shared" si="8"/>
        <v/>
      </c>
      <c r="G176" s="18"/>
      <c r="H176" s="18"/>
      <c r="I176" s="18"/>
      <c r="J176" s="18"/>
      <c r="K176" s="183"/>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Contratos</v>
      </c>
      <c r="C177" s="85" t="str" cm="1">
        <f t="array" ref="C177">IFERROR(INDEX('03.Muestra'!$F$8:$F$42,SMALL(IF("Página Web"='03.Muestra'!$D$8:$D$42,ROW('03.Muestra'!$F$8:$F$42)-MIN(ROW('03.Muestra'!$D$8:$D$42))+1,""),ROW()-170)),"")</f>
        <v>https://www.comunidad.madrid/transparencia/contratos</v>
      </c>
      <c r="D177" s="99" t="s">
        <v>103</v>
      </c>
      <c r="E177" s="79" t="str">
        <f t="shared" si="8"/>
        <v/>
      </c>
      <c r="F177" s="18"/>
      <c r="G177" s="18"/>
      <c r="H177" s="18"/>
      <c r="I177" s="18"/>
      <c r="J177" s="18"/>
      <c r="K177" s="183"/>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v>
      </c>
      <c r="C178" s="85" t="str" cm="1">
        <f t="array" ref="C178">IFERROR(INDEX('03.Muestra'!$F$8:$F$42,SMALL(IF("Página Web"='03.Muestra'!$D$8:$D$42,ROW('03.Muestra'!$F$8:$F$42)-MIN(ROW('03.Muestra'!$D$8:$D$42))+1,""),ROW()-170)),"")</f>
        <v>https://www.comunidad.madrid/transparencia/normativa-planificacion/consulta-publica</v>
      </c>
      <c r="D178" s="99" t="s">
        <v>103</v>
      </c>
      <c r="E178" s="79" t="str">
        <f t="shared" si="8"/>
        <v/>
      </c>
      <c r="F178" s="18"/>
      <c r="G178" s="18"/>
      <c r="H178" s="18"/>
      <c r="I178" s="18"/>
      <c r="J178" s="18"/>
      <c r="K178" s="183"/>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Proyecto</v>
      </c>
      <c r="C179" s="85" t="str" cm="1">
        <f t="array" ref="C179">IFERROR(INDEX('03.Muestra'!$F$8:$F$42,SMALL(IF("Página Web"='03.Muestra'!$D$8:$D$42,ROW('03.Muestra'!$F$8:$F$42)-MIN(ROW('03.Muestra'!$D$8:$D$42))+1,""),ROW()-170)),"")</f>
        <v>https://www.comunidad.madrid/transparencia/proyecto-orden-que-se-crea-comision-farmacia-y-productos-sanitarios-cm-y-se-establece-su-composicion</v>
      </c>
      <c r="D179" s="99" t="s">
        <v>103</v>
      </c>
      <c r="E179" s="79" t="str">
        <f t="shared" si="8"/>
        <v/>
      </c>
      <c r="F179" s="18"/>
      <c r="G179" s="18"/>
      <c r="H179" s="18"/>
      <c r="I179" s="18"/>
      <c r="J179" s="18"/>
      <c r="K179" s="183"/>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Planes y Programas</v>
      </c>
      <c r="C180" s="85" t="str" cm="1">
        <f t="array" ref="C180">IFERROR(INDEX('03.Muestra'!$F$8:$F$42,SMALL(IF("Página Web"='03.Muestra'!$D$8:$D$42,ROW('03.Muestra'!$F$8:$F$42)-MIN(ROW('03.Muestra'!$D$8:$D$42))+1,""),ROW()-170)),"")</f>
        <v>https://www.comunidad.madrid/transparencia/normativa-planificacion/planes-programas</v>
      </c>
      <c r="D180" s="99" t="s">
        <v>103</v>
      </c>
      <c r="E180" s="79" t="str">
        <f t="shared" si="8"/>
        <v/>
      </c>
      <c r="F180" s="18"/>
      <c r="G180" s="18"/>
      <c r="H180" s="18"/>
      <c r="I180" s="18"/>
      <c r="J180" s="18"/>
      <c r="K180" s="183"/>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Estrategia</v>
      </c>
      <c r="C181" s="85" t="str" cm="1">
        <f t="array" ref="C181">IFERROR(INDEX('03.Muestra'!$F$8:$F$42,SMALL(IF("Página Web"='03.Muestra'!$D$8:$D$42,ROW('03.Muestra'!$F$8:$F$42)-MIN(ROW('03.Muestra'!$D$8:$D$42))+1,""),ROW()-170)),"")</f>
        <v>https://www.comunidad.madrid/transparencia/informacion-institucional/planes-programas/estrategia-seguridad-del-paciente-del-servicio-madrileno</v>
      </c>
      <c r="D181" s="99" t="s">
        <v>103</v>
      </c>
      <c r="E181" s="79" t="str">
        <f t="shared" si="8"/>
        <v/>
      </c>
      <c r="F181" s="18"/>
      <c r="G181" s="18"/>
      <c r="H181" s="18"/>
      <c r="I181" s="18"/>
      <c r="J181" s="18"/>
      <c r="K181" s="183"/>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Huella</v>
      </c>
      <c r="C182" s="85" t="str" cm="1">
        <f t="array" ref="C182">IFERROR(INDEX('03.Muestra'!$F$8:$F$42,SMALL(IF("Página Web"='03.Muestra'!$D$8:$D$42,ROW('03.Muestra'!$F$8:$F$42)-MIN(ROW('03.Muestra'!$D$8:$D$42))+1,""),ROW()-170)),"")</f>
        <v>https://www.comunidad.madrid/transparencia/normativa-planificacion/huella-normativa</v>
      </c>
      <c r="D182" s="99" t="s">
        <v>103</v>
      </c>
      <c r="E182" s="79" t="str">
        <f t="shared" si="8"/>
        <v/>
      </c>
      <c r="F182" s="18"/>
      <c r="G182" s="18"/>
      <c r="H182" s="18"/>
      <c r="I182" s="18"/>
      <c r="J182" s="18"/>
      <c r="K182" s="183"/>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Decreto</v>
      </c>
      <c r="C183" s="85" t="str" cm="1">
        <f t="array" ref="C183">IFERROR(INDEX('03.Muestra'!$F$8:$F$42,SMALL(IF("Página Web"='03.Muestra'!$D$8:$D$42,ROW('03.Muestra'!$F$8:$F$42)-MIN(ROW('03.Muestra'!$D$8:$D$42))+1,""),ROW()-170)),"")</f>
        <v>https://www.comunidad.madrid/transparencia/decreto-del-consejo-gobierno-que-se-establece-estructura-organica-consejeria-familia-juventud-y</v>
      </c>
      <c r="D183" s="99" t="s">
        <v>103</v>
      </c>
      <c r="E183" s="79" t="str">
        <f t="shared" si="8"/>
        <v/>
      </c>
      <c r="F183" s="18"/>
      <c r="G183" s="18"/>
      <c r="H183" s="18"/>
      <c r="I183" s="18"/>
      <c r="J183" s="18"/>
      <c r="K183" s="183"/>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Entidades Locales</v>
      </c>
      <c r="C184" s="85" t="str" cm="1">
        <f t="array" ref="C184">IFERROR(INDEX('03.Muestra'!$F$8:$F$42,SMALL(IF("Página Web"='03.Muestra'!$D$8:$D$42,ROW('03.Muestra'!$F$8:$F$42)-MIN(ROW('03.Muestra'!$D$8:$D$42))+1,""),ROW()-170)),"")</f>
        <v>https://www.comunidad.madrid/transparencia/entidades-locales</v>
      </c>
      <c r="D184" s="99" t="s">
        <v>103</v>
      </c>
      <c r="E184" s="79" t="str">
        <f t="shared" si="8"/>
        <v/>
      </c>
      <c r="F184" s="18"/>
      <c r="G184" s="18"/>
      <c r="H184" s="18"/>
      <c r="I184" s="18"/>
      <c r="J184" s="18"/>
      <c r="K184" s="183"/>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3"/>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3"/>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3"/>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3"/>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3"/>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3"/>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3"/>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3"/>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3"/>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3"/>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3"/>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3"/>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3"/>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3"/>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3"/>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3"/>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3"/>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3"/>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3"/>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3"/>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3"/>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3"/>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3"/>
      <c r="L207" s="18"/>
      <c r="M207" s="18"/>
      <c r="N207" s="18"/>
      <c r="O207" s="18"/>
      <c r="P207" s="18"/>
      <c r="Q207" s="18"/>
      <c r="R207" s="18"/>
      <c r="S207" s="18"/>
      <c r="T207" s="18"/>
      <c r="U207" s="18"/>
      <c r="V207" s="18"/>
      <c r="W207" s="18"/>
      <c r="X207" s="18"/>
      <c r="Y207" s="18"/>
    </row>
    <row r="208" spans="1:25" ht="32.25" customHeight="1">
      <c r="A208" s="172" t="s">
        <v>98</v>
      </c>
      <c r="B208" s="23" t="s">
        <v>90</v>
      </c>
      <c r="C208" s="24" t="s">
        <v>136</v>
      </c>
      <c r="D208" s="25" t="s">
        <v>100</v>
      </c>
      <c r="E208" s="93"/>
      <c r="K208" s="183"/>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https://www.comunidad.madrid/transparencia/</v>
      </c>
      <c r="D209" s="99" t="s">
        <v>103</v>
      </c>
      <c r="E209" s="79" t="str">
        <f t="shared" ref="E209:E243" si="10">IF(D209&lt;&gt;"",IF(AND(B209&lt;&gt;"",C209&lt;&gt;""),"","ERR"),"")</f>
        <v/>
      </c>
      <c r="F209" s="86" t="s">
        <v>101</v>
      </c>
      <c r="G209" s="87" t="s">
        <v>102</v>
      </c>
      <c r="H209" s="88" t="s">
        <v>103</v>
      </c>
      <c r="I209" s="89" t="s">
        <v>93</v>
      </c>
      <c r="J209" s="90" t="s">
        <v>91</v>
      </c>
      <c r="K209" s="178"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Aviso legal</v>
      </c>
      <c r="C210" s="85" t="str" cm="1">
        <f t="array" ref="C210">IFERROR(INDEX('03.Muestra'!$F$8:$F$42,SMALL(IF("Página Web"='03.Muestra'!$D$8:$D$42,ROW('03.Muestra'!$F$8:$F$42)-MIN(ROW('03.Muestra'!$D$8:$D$42))+1,""),ROW()-208)),"")</f>
        <v>https://www.comunidad.madrid/transparencia/aviso-legal</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14</v>
      </c>
      <c r="I210" s="91">
        <f ca="1">COUNTIF($D209:INDIRECT("$D" &amp;  SUM(ROW()-1,'03.Muestra'!$D$45)-1),I209)</f>
        <v>0</v>
      </c>
      <c r="J210" s="91">
        <f ca="1">COUNTIF($D209:INDIRECT("$D" &amp;  SUM(ROW()-1,'03.Muestra'!$D$45)-1),J209)</f>
        <v>0</v>
      </c>
      <c r="K210" s="179">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Accesibilidad</v>
      </c>
      <c r="C211" s="85" t="str" cm="1">
        <f t="array" ref="C211">IFERROR(INDEX('03.Muestra'!$F$8:$F$42,SMALL(IF("Página Web"='03.Muestra'!$D$8:$D$42,ROW('03.Muestra'!$F$8:$F$42)-MIN(ROW('03.Muestra'!$D$8:$D$42))+1,""),ROW()-208)),"")</f>
        <v>https://www.comunidad.madrid/transparencia/declaracion-accesibilidad</v>
      </c>
      <c r="D211" s="99" t="s">
        <v>103</v>
      </c>
      <c r="E211" s="79" t="str">
        <f t="shared" si="10"/>
        <v/>
      </c>
      <c r="G211" s="18"/>
      <c r="H211" s="18"/>
      <c r="I211" s="18"/>
      <c r="J211" s="18"/>
      <c r="K211" s="183"/>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Tranparencia</v>
      </c>
      <c r="C212" s="85" t="str" cm="1">
        <f t="array" ref="C212">IFERROR(INDEX('03.Muestra'!$F$8:$F$42,SMALL(IF("Página Web"='03.Muestra'!$D$8:$D$42,ROW('03.Muestra'!$F$8:$F$42)-MIN(ROW('03.Muestra'!$D$8:$D$42))+1,""),ROW()-208)),"")</f>
        <v>https://www.comunidad.madrid/transparencia/que-es-transparencia</v>
      </c>
      <c r="D212" s="99" t="s">
        <v>103</v>
      </c>
      <c r="E212" s="79" t="str">
        <f t="shared" si="10"/>
        <v/>
      </c>
      <c r="G212" s="18"/>
      <c r="H212" s="18"/>
      <c r="I212" s="18"/>
      <c r="J212" s="18"/>
      <c r="K212" s="183"/>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Organización</v>
      </c>
      <c r="C213" s="85" t="str" cm="1">
        <f t="array" ref="C213">IFERROR(INDEX('03.Muestra'!$F$8:$F$42,SMALL(IF("Página Web"='03.Muestra'!$D$8:$D$42,ROW('03.Muestra'!$F$8:$F$42)-MIN(ROW('03.Muestra'!$D$8:$D$42))+1,""),ROW()-208)),"")</f>
        <v>https://www.comunidad.madrid/transparencia/organizacion-recursos/organizacion</v>
      </c>
      <c r="D213" s="99" t="s">
        <v>103</v>
      </c>
      <c r="E213" s="79" t="str">
        <f t="shared" si="10"/>
        <v/>
      </c>
      <c r="G213" s="18"/>
      <c r="H213" s="18"/>
      <c r="I213" s="18"/>
      <c r="J213" s="18"/>
      <c r="K213" s="183"/>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Quejas</v>
      </c>
      <c r="C214" s="85" t="str" cm="1">
        <f t="array" ref="C214">IFERROR(INDEX('03.Muestra'!$F$8:$F$42,SMALL(IF("Página Web"='03.Muestra'!$D$8:$D$42,ROW('03.Muestra'!$F$8:$F$42)-MIN(ROW('03.Muestra'!$D$8:$D$42))+1,""),ROW()-208)),"")</f>
        <v>https://www.comunidad.madrid/transparencia/quejas-y-reclamaciones</v>
      </c>
      <c r="D214" s="99" t="s">
        <v>103</v>
      </c>
      <c r="E214" s="79" t="str">
        <f t="shared" si="10"/>
        <v/>
      </c>
      <c r="G214" s="18"/>
      <c r="H214" s="18"/>
      <c r="I214" s="18"/>
      <c r="J214" s="18"/>
      <c r="K214" s="183"/>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Contratos</v>
      </c>
      <c r="C215" s="85" t="str" cm="1">
        <f t="array" ref="C215">IFERROR(INDEX('03.Muestra'!$F$8:$F$42,SMALL(IF("Página Web"='03.Muestra'!$D$8:$D$42,ROW('03.Muestra'!$F$8:$F$42)-MIN(ROW('03.Muestra'!$D$8:$D$42))+1,""),ROW()-208)),"")</f>
        <v>https://www.comunidad.madrid/transparencia/contratos</v>
      </c>
      <c r="D215" s="99" t="s">
        <v>103</v>
      </c>
      <c r="E215" s="79" t="str">
        <f t="shared" si="10"/>
        <v/>
      </c>
      <c r="F215" s="18"/>
      <c r="G215" s="18"/>
      <c r="H215" s="18"/>
      <c r="I215" s="18"/>
      <c r="J215" s="18"/>
      <c r="K215" s="183"/>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Consulta</v>
      </c>
      <c r="C216" s="85" t="str" cm="1">
        <f t="array" ref="C216">IFERROR(INDEX('03.Muestra'!$F$8:$F$42,SMALL(IF("Página Web"='03.Muestra'!$D$8:$D$42,ROW('03.Muestra'!$F$8:$F$42)-MIN(ROW('03.Muestra'!$D$8:$D$42))+1,""),ROW()-208)),"")</f>
        <v>https://www.comunidad.madrid/transparencia/normativa-planificacion/consulta-publica</v>
      </c>
      <c r="D216" s="99" t="s">
        <v>103</v>
      </c>
      <c r="E216" s="79" t="str">
        <f t="shared" si="10"/>
        <v/>
      </c>
      <c r="F216" s="18"/>
      <c r="G216" s="18"/>
      <c r="H216" s="18"/>
      <c r="I216" s="18"/>
      <c r="J216" s="18"/>
      <c r="K216" s="183"/>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Proyecto</v>
      </c>
      <c r="C217" s="85" t="str" cm="1">
        <f t="array" ref="C217">IFERROR(INDEX('03.Muestra'!$F$8:$F$42,SMALL(IF("Página Web"='03.Muestra'!$D$8:$D$42,ROW('03.Muestra'!$F$8:$F$42)-MIN(ROW('03.Muestra'!$D$8:$D$42))+1,""),ROW()-208)),"")</f>
        <v>https://www.comunidad.madrid/transparencia/proyecto-orden-que-se-crea-comision-farmacia-y-productos-sanitarios-cm-y-se-establece-su-composicion</v>
      </c>
      <c r="D217" s="99" t="s">
        <v>103</v>
      </c>
      <c r="E217" s="79" t="str">
        <f t="shared" si="10"/>
        <v/>
      </c>
      <c r="F217" s="18"/>
      <c r="G217" s="18"/>
      <c r="H217" s="18"/>
      <c r="I217" s="18"/>
      <c r="J217" s="18"/>
      <c r="K217" s="183"/>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Planes y Programas</v>
      </c>
      <c r="C218" s="85" t="str" cm="1">
        <f t="array" ref="C218">IFERROR(INDEX('03.Muestra'!$F$8:$F$42,SMALL(IF("Página Web"='03.Muestra'!$D$8:$D$42,ROW('03.Muestra'!$F$8:$F$42)-MIN(ROW('03.Muestra'!$D$8:$D$42))+1,""),ROW()-208)),"")</f>
        <v>https://www.comunidad.madrid/transparencia/normativa-planificacion/planes-programas</v>
      </c>
      <c r="D218" s="99" t="s">
        <v>103</v>
      </c>
      <c r="E218" s="79" t="str">
        <f t="shared" si="10"/>
        <v/>
      </c>
      <c r="F218" s="18"/>
      <c r="G218" s="18"/>
      <c r="H218" s="18"/>
      <c r="I218" s="18"/>
      <c r="J218" s="18"/>
      <c r="K218" s="183"/>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Estrategia</v>
      </c>
      <c r="C219" s="85" t="str" cm="1">
        <f t="array" ref="C219">IFERROR(INDEX('03.Muestra'!$F$8:$F$42,SMALL(IF("Página Web"='03.Muestra'!$D$8:$D$42,ROW('03.Muestra'!$F$8:$F$42)-MIN(ROW('03.Muestra'!$D$8:$D$42))+1,""),ROW()-208)),"")</f>
        <v>https://www.comunidad.madrid/transparencia/informacion-institucional/planes-programas/estrategia-seguridad-del-paciente-del-servicio-madrileno</v>
      </c>
      <c r="D219" s="99" t="s">
        <v>103</v>
      </c>
      <c r="E219" s="79" t="str">
        <f t="shared" si="10"/>
        <v/>
      </c>
      <c r="F219" s="18"/>
      <c r="G219" s="18"/>
      <c r="H219" s="18"/>
      <c r="I219" s="18"/>
      <c r="J219" s="18"/>
      <c r="K219" s="183"/>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Huella</v>
      </c>
      <c r="C220" s="85" t="str" cm="1">
        <f t="array" ref="C220">IFERROR(INDEX('03.Muestra'!$F$8:$F$42,SMALL(IF("Página Web"='03.Muestra'!$D$8:$D$42,ROW('03.Muestra'!$F$8:$F$42)-MIN(ROW('03.Muestra'!$D$8:$D$42))+1,""),ROW()-208)),"")</f>
        <v>https://www.comunidad.madrid/transparencia/normativa-planificacion/huella-normativa</v>
      </c>
      <c r="D220" s="99" t="s">
        <v>103</v>
      </c>
      <c r="E220" s="79" t="str">
        <f t="shared" si="10"/>
        <v/>
      </c>
      <c r="F220" s="18"/>
      <c r="G220" s="18"/>
      <c r="H220" s="18"/>
      <c r="I220" s="18"/>
      <c r="J220" s="18"/>
      <c r="K220" s="183"/>
      <c r="L220" s="18"/>
      <c r="M220" s="18"/>
      <c r="N220" s="18"/>
      <c r="O220" s="18"/>
      <c r="P220" s="18"/>
      <c r="Q220" s="18"/>
      <c r="R220" s="18"/>
      <c r="S220" s="18"/>
      <c r="T220" s="18"/>
      <c r="U220" s="18"/>
      <c r="V220" s="18"/>
      <c r="W220" s="18"/>
      <c r="X220" s="18"/>
      <c r="Y220" s="18"/>
    </row>
    <row r="221" spans="1:25" ht="14.15"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Decreto</v>
      </c>
      <c r="C221" s="85" t="str" cm="1">
        <f t="array" ref="C221">IFERROR(INDEX('03.Muestra'!$F$8:$F$42,SMALL(IF("Página Web"='03.Muestra'!$D$8:$D$42,ROW('03.Muestra'!$F$8:$F$42)-MIN(ROW('03.Muestra'!$D$8:$D$42))+1,""),ROW()-208)),"")</f>
        <v>https://www.comunidad.madrid/transparencia/decreto-del-consejo-gobierno-que-se-establece-estructura-organica-consejeria-familia-juventud-y</v>
      </c>
      <c r="D221" s="99" t="s">
        <v>103</v>
      </c>
      <c r="E221" s="79" t="str">
        <f t="shared" si="10"/>
        <v/>
      </c>
      <c r="F221" s="18"/>
      <c r="G221" s="18"/>
      <c r="H221" s="18"/>
      <c r="I221" s="18"/>
      <c r="J221" s="18"/>
      <c r="K221" s="183"/>
      <c r="L221" s="18"/>
      <c r="M221" s="18"/>
      <c r="N221" s="18"/>
      <c r="O221" s="18"/>
      <c r="P221" s="18"/>
      <c r="Q221" s="18"/>
      <c r="R221" s="18"/>
      <c r="S221" s="18"/>
      <c r="T221" s="18"/>
      <c r="U221" s="18"/>
      <c r="V221" s="18"/>
      <c r="W221" s="18"/>
      <c r="X221" s="18"/>
      <c r="Y221" s="18"/>
    </row>
    <row r="222" spans="1:25" ht="14.15"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Entidades Locales</v>
      </c>
      <c r="C222" s="85" t="str" cm="1">
        <f t="array" ref="C222">IFERROR(INDEX('03.Muestra'!$F$8:$F$42,SMALL(IF("Página Web"='03.Muestra'!$D$8:$D$42,ROW('03.Muestra'!$F$8:$F$42)-MIN(ROW('03.Muestra'!$D$8:$D$42))+1,""),ROW()-208)),"")</f>
        <v>https://www.comunidad.madrid/transparencia/entidades-locales</v>
      </c>
      <c r="D222" s="99" t="s">
        <v>103</v>
      </c>
      <c r="E222" s="79" t="str">
        <f t="shared" si="10"/>
        <v/>
      </c>
      <c r="F222" s="18"/>
      <c r="G222" s="18"/>
      <c r="H222" s="18"/>
      <c r="I222" s="18"/>
      <c r="J222" s="18"/>
      <c r="K222" s="183"/>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83"/>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3"/>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3"/>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3"/>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3"/>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3"/>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3"/>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3"/>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3"/>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3"/>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3"/>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3"/>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3"/>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3"/>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3"/>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3"/>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3"/>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3"/>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3"/>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3"/>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3"/>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3"/>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3"/>
      <c r="L245" s="18"/>
      <c r="M245" s="18"/>
      <c r="N245" s="18"/>
      <c r="O245" s="18"/>
      <c r="P245" s="18"/>
      <c r="Q245" s="18"/>
      <c r="R245" s="18"/>
      <c r="S245" s="18"/>
      <c r="T245" s="18"/>
      <c r="U245" s="18"/>
      <c r="V245" s="18"/>
      <c r="W245" s="18"/>
      <c r="X245" s="18"/>
      <c r="Y245" s="18"/>
    </row>
    <row r="246" spans="1:25" ht="32.25" customHeight="1">
      <c r="A246" s="172" t="s">
        <v>98</v>
      </c>
      <c r="B246" s="23" t="s">
        <v>90</v>
      </c>
      <c r="C246" s="24" t="s">
        <v>137</v>
      </c>
      <c r="D246" s="25" t="s">
        <v>100</v>
      </c>
      <c r="E246" s="93"/>
      <c r="K246" s="183"/>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https://www.comunidad.madrid/transparencia/</v>
      </c>
      <c r="D247" s="99" t="s">
        <v>103</v>
      </c>
      <c r="E247" s="79" t="str">
        <f t="shared" ref="E247:E281" si="12">IF(D247&lt;&gt;"",IF(AND(B247&lt;&gt;"",C247&lt;&gt;""),"","ERR"),"")</f>
        <v/>
      </c>
      <c r="F247" s="86" t="s">
        <v>101</v>
      </c>
      <c r="G247" s="87" t="s">
        <v>102</v>
      </c>
      <c r="H247" s="88" t="s">
        <v>103</v>
      </c>
      <c r="I247" s="89" t="s">
        <v>93</v>
      </c>
      <c r="J247" s="90" t="s">
        <v>91</v>
      </c>
      <c r="K247" s="178"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Aviso legal</v>
      </c>
      <c r="C248" s="85" t="str" cm="1">
        <f t="array" ref="C248">IFERROR(INDEX('03.Muestra'!$F$8:$F$42,SMALL(IF("Página Web"='03.Muestra'!$D$8:$D$42,ROW('03.Muestra'!$F$8:$F$42)-MIN(ROW('03.Muestra'!$D$8:$D$42))+1,""),ROW()-246)),"")</f>
        <v>https://www.comunidad.madrid/transparencia/aviso-legal</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14</v>
      </c>
      <c r="I248" s="91">
        <f ca="1">COUNTIF($D247:INDIRECT("$D" &amp;  SUM(ROW()-1,'03.Muestra'!$D$45)-1),I247)</f>
        <v>0</v>
      </c>
      <c r="J248" s="91">
        <f ca="1">COUNTIF($D247:INDIRECT("$D" &amp;  SUM(ROW()-1,'03.Muestra'!$D$45)-1),J247)</f>
        <v>0</v>
      </c>
      <c r="K248" s="179">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Accesibilidad</v>
      </c>
      <c r="C249" s="85" t="str" cm="1">
        <f t="array" ref="C249">IFERROR(INDEX('03.Muestra'!$F$8:$F$42,SMALL(IF("Página Web"='03.Muestra'!$D$8:$D$42,ROW('03.Muestra'!$F$8:$F$42)-MIN(ROW('03.Muestra'!$D$8:$D$42))+1,""),ROW()-246)),"")</f>
        <v>https://www.comunidad.madrid/transparencia/declaracion-accesibilidad</v>
      </c>
      <c r="D249" s="99" t="s">
        <v>103</v>
      </c>
      <c r="E249" s="79" t="str">
        <f t="shared" si="12"/>
        <v/>
      </c>
      <c r="G249" s="18"/>
      <c r="H249" s="18"/>
      <c r="I249" s="18"/>
      <c r="J249" s="18"/>
      <c r="K249" s="183"/>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Tranparencia</v>
      </c>
      <c r="C250" s="85" t="str" cm="1">
        <f t="array" ref="C250">IFERROR(INDEX('03.Muestra'!$F$8:$F$42,SMALL(IF("Página Web"='03.Muestra'!$D$8:$D$42,ROW('03.Muestra'!$F$8:$F$42)-MIN(ROW('03.Muestra'!$D$8:$D$42))+1,""),ROW()-246)),"")</f>
        <v>https://www.comunidad.madrid/transparencia/que-es-transparencia</v>
      </c>
      <c r="D250" s="99" t="s">
        <v>103</v>
      </c>
      <c r="E250" s="79" t="str">
        <f t="shared" si="12"/>
        <v/>
      </c>
      <c r="G250" s="18"/>
      <c r="H250" s="18"/>
      <c r="I250" s="18"/>
      <c r="J250" s="18"/>
      <c r="K250" s="183"/>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Organización</v>
      </c>
      <c r="C251" s="85" t="str" cm="1">
        <f t="array" ref="C251">IFERROR(INDEX('03.Muestra'!$F$8:$F$42,SMALL(IF("Página Web"='03.Muestra'!$D$8:$D$42,ROW('03.Muestra'!$F$8:$F$42)-MIN(ROW('03.Muestra'!$D$8:$D$42))+1,""),ROW()-246)),"")</f>
        <v>https://www.comunidad.madrid/transparencia/organizacion-recursos/organizacion</v>
      </c>
      <c r="D251" s="99" t="s">
        <v>103</v>
      </c>
      <c r="E251" s="79" t="str">
        <f t="shared" si="12"/>
        <v/>
      </c>
      <c r="G251" s="18"/>
      <c r="H251" s="18"/>
      <c r="I251" s="18"/>
      <c r="J251" s="18"/>
      <c r="K251" s="183"/>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Quejas</v>
      </c>
      <c r="C252" s="85" t="str" cm="1">
        <f t="array" ref="C252">IFERROR(INDEX('03.Muestra'!$F$8:$F$42,SMALL(IF("Página Web"='03.Muestra'!$D$8:$D$42,ROW('03.Muestra'!$F$8:$F$42)-MIN(ROW('03.Muestra'!$D$8:$D$42))+1,""),ROW()-246)),"")</f>
        <v>https://www.comunidad.madrid/transparencia/quejas-y-reclamaciones</v>
      </c>
      <c r="D252" s="99" t="s">
        <v>103</v>
      </c>
      <c r="E252" s="79" t="str">
        <f t="shared" si="12"/>
        <v/>
      </c>
      <c r="G252" s="18"/>
      <c r="H252" s="18"/>
      <c r="I252" s="18"/>
      <c r="J252" s="18"/>
      <c r="K252" s="183"/>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Contratos</v>
      </c>
      <c r="C253" s="85" t="str" cm="1">
        <f t="array" ref="C253">IFERROR(INDEX('03.Muestra'!$F$8:$F$42,SMALL(IF("Página Web"='03.Muestra'!$D$8:$D$42,ROW('03.Muestra'!$F$8:$F$42)-MIN(ROW('03.Muestra'!$D$8:$D$42))+1,""),ROW()-246)),"")</f>
        <v>https://www.comunidad.madrid/transparencia/contratos</v>
      </c>
      <c r="D253" s="99" t="s">
        <v>103</v>
      </c>
      <c r="E253" s="79" t="str">
        <f t="shared" si="12"/>
        <v/>
      </c>
      <c r="F253" s="18"/>
      <c r="G253" s="18"/>
      <c r="H253" s="18"/>
      <c r="I253" s="18"/>
      <c r="J253" s="18"/>
      <c r="K253" s="183"/>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Consulta</v>
      </c>
      <c r="C254" s="85" t="str" cm="1">
        <f t="array" ref="C254">IFERROR(INDEX('03.Muestra'!$F$8:$F$42,SMALL(IF("Página Web"='03.Muestra'!$D$8:$D$42,ROW('03.Muestra'!$F$8:$F$42)-MIN(ROW('03.Muestra'!$D$8:$D$42))+1,""),ROW()-246)),"")</f>
        <v>https://www.comunidad.madrid/transparencia/normativa-planificacion/consulta-publica</v>
      </c>
      <c r="D254" s="99" t="s">
        <v>103</v>
      </c>
      <c r="E254" s="79" t="str">
        <f t="shared" si="12"/>
        <v/>
      </c>
      <c r="F254" s="18"/>
      <c r="G254" s="18"/>
      <c r="H254" s="18"/>
      <c r="I254" s="18"/>
      <c r="J254" s="18"/>
      <c r="K254" s="183"/>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Proyecto</v>
      </c>
      <c r="C255" s="85" t="str" cm="1">
        <f t="array" ref="C255">IFERROR(INDEX('03.Muestra'!$F$8:$F$42,SMALL(IF("Página Web"='03.Muestra'!$D$8:$D$42,ROW('03.Muestra'!$F$8:$F$42)-MIN(ROW('03.Muestra'!$D$8:$D$42))+1,""),ROW()-246)),"")</f>
        <v>https://www.comunidad.madrid/transparencia/proyecto-orden-que-se-crea-comision-farmacia-y-productos-sanitarios-cm-y-se-establece-su-composicion</v>
      </c>
      <c r="D255" s="99" t="s">
        <v>103</v>
      </c>
      <c r="E255" s="79" t="str">
        <f t="shared" si="12"/>
        <v/>
      </c>
      <c r="F255" s="18"/>
      <c r="G255" s="18"/>
      <c r="H255" s="18"/>
      <c r="I255" s="18"/>
      <c r="J255" s="18"/>
      <c r="K255" s="183"/>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Planes y Programas</v>
      </c>
      <c r="C256" s="85" t="str" cm="1">
        <f t="array" ref="C256">IFERROR(INDEX('03.Muestra'!$F$8:$F$42,SMALL(IF("Página Web"='03.Muestra'!$D$8:$D$42,ROW('03.Muestra'!$F$8:$F$42)-MIN(ROW('03.Muestra'!$D$8:$D$42))+1,""),ROW()-246)),"")</f>
        <v>https://www.comunidad.madrid/transparencia/normativa-planificacion/planes-programas</v>
      </c>
      <c r="D256" s="99" t="s">
        <v>103</v>
      </c>
      <c r="E256" s="79" t="str">
        <f t="shared" si="12"/>
        <v/>
      </c>
      <c r="F256" s="18"/>
      <c r="G256" s="18"/>
      <c r="H256" s="18"/>
      <c r="I256" s="18"/>
      <c r="J256" s="18"/>
      <c r="K256" s="183"/>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Estrategia</v>
      </c>
      <c r="C257" s="85" t="str" cm="1">
        <f t="array" ref="C257">IFERROR(INDEX('03.Muestra'!$F$8:$F$42,SMALL(IF("Página Web"='03.Muestra'!$D$8:$D$42,ROW('03.Muestra'!$F$8:$F$42)-MIN(ROW('03.Muestra'!$D$8:$D$42))+1,""),ROW()-246)),"")</f>
        <v>https://www.comunidad.madrid/transparencia/informacion-institucional/planes-programas/estrategia-seguridad-del-paciente-del-servicio-madrileno</v>
      </c>
      <c r="D257" s="99" t="s">
        <v>103</v>
      </c>
      <c r="E257" s="79" t="str">
        <f t="shared" si="12"/>
        <v/>
      </c>
      <c r="F257" s="18"/>
      <c r="G257" s="18"/>
      <c r="H257" s="18"/>
      <c r="I257" s="18"/>
      <c r="J257" s="18"/>
      <c r="K257" s="183"/>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Huella</v>
      </c>
      <c r="C258" s="85" t="str" cm="1">
        <f t="array" ref="C258">IFERROR(INDEX('03.Muestra'!$F$8:$F$42,SMALL(IF("Página Web"='03.Muestra'!$D$8:$D$42,ROW('03.Muestra'!$F$8:$F$42)-MIN(ROW('03.Muestra'!$D$8:$D$42))+1,""),ROW()-246)),"")</f>
        <v>https://www.comunidad.madrid/transparencia/normativa-planificacion/huella-normativa</v>
      </c>
      <c r="D258" s="99" t="s">
        <v>103</v>
      </c>
      <c r="E258" s="79" t="str">
        <f t="shared" si="12"/>
        <v/>
      </c>
      <c r="F258" s="18"/>
      <c r="G258" s="18"/>
      <c r="H258" s="18"/>
      <c r="I258" s="18"/>
      <c r="J258" s="18"/>
      <c r="K258" s="183"/>
      <c r="L258" s="18"/>
      <c r="M258" s="18"/>
      <c r="N258" s="18"/>
      <c r="O258" s="18"/>
      <c r="P258" s="18"/>
      <c r="Q258" s="18"/>
      <c r="R258" s="18"/>
      <c r="S258" s="18"/>
      <c r="T258" s="18"/>
      <c r="U258" s="18"/>
      <c r="V258" s="18"/>
      <c r="W258" s="18"/>
      <c r="X258" s="18"/>
      <c r="Y258" s="18"/>
    </row>
    <row r="259" spans="1:25" ht="14.15"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Decreto</v>
      </c>
      <c r="C259" s="85" t="str" cm="1">
        <f t="array" ref="C259">IFERROR(INDEX('03.Muestra'!$F$8:$F$42,SMALL(IF("Página Web"='03.Muestra'!$D$8:$D$42,ROW('03.Muestra'!$F$8:$F$42)-MIN(ROW('03.Muestra'!$D$8:$D$42))+1,""),ROW()-246)),"")</f>
        <v>https://www.comunidad.madrid/transparencia/decreto-del-consejo-gobierno-que-se-establece-estructura-organica-consejeria-familia-juventud-y</v>
      </c>
      <c r="D259" s="99" t="s">
        <v>103</v>
      </c>
      <c r="E259" s="79" t="str">
        <f t="shared" si="12"/>
        <v/>
      </c>
      <c r="F259" s="18"/>
      <c r="G259" s="18"/>
      <c r="H259" s="18"/>
      <c r="I259" s="18"/>
      <c r="J259" s="18"/>
      <c r="K259" s="183"/>
      <c r="L259" s="18"/>
      <c r="M259" s="18"/>
      <c r="N259" s="18"/>
      <c r="O259" s="18"/>
      <c r="P259" s="18"/>
      <c r="Q259" s="18"/>
      <c r="R259" s="18"/>
      <c r="S259" s="18"/>
      <c r="T259" s="18"/>
      <c r="U259" s="18"/>
      <c r="V259" s="18"/>
      <c r="W259" s="18"/>
      <c r="X259" s="18"/>
      <c r="Y259" s="18"/>
    </row>
    <row r="260" spans="1:25" ht="14.15"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Entidades Locales</v>
      </c>
      <c r="C260" s="85" t="str" cm="1">
        <f t="array" ref="C260">IFERROR(INDEX('03.Muestra'!$F$8:$F$42,SMALL(IF("Página Web"='03.Muestra'!$D$8:$D$42,ROW('03.Muestra'!$F$8:$F$42)-MIN(ROW('03.Muestra'!$D$8:$D$42))+1,""),ROW()-246)),"")</f>
        <v>https://www.comunidad.madrid/transparencia/entidades-locales</v>
      </c>
      <c r="D260" s="99" t="s">
        <v>103</v>
      </c>
      <c r="E260" s="79" t="str">
        <f t="shared" si="12"/>
        <v/>
      </c>
      <c r="F260" s="18"/>
      <c r="G260" s="18"/>
      <c r="H260" s="18"/>
      <c r="I260" s="18"/>
      <c r="J260" s="18"/>
      <c r="K260" s="183"/>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61:D281" si="13">IF(AND(B261&lt;&gt;"",C261&lt;&gt;""),"N/T","")</f>
        <v/>
      </c>
      <c r="E261" s="79" t="str">
        <f t="shared" si="12"/>
        <v/>
      </c>
      <c r="F261" s="18"/>
      <c r="G261" s="18"/>
      <c r="H261" s="18"/>
      <c r="I261" s="18"/>
      <c r="J261" s="18"/>
      <c r="K261" s="183"/>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3"/>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3"/>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3"/>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3"/>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3"/>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3"/>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3"/>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3"/>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3"/>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3"/>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3"/>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3"/>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3"/>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3"/>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3"/>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3"/>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3"/>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3"/>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3"/>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3"/>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3"/>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3"/>
      <c r="L283" s="18"/>
      <c r="M283" s="18"/>
      <c r="N283" s="18"/>
      <c r="O283" s="18"/>
      <c r="P283" s="18"/>
      <c r="Q283" s="18"/>
      <c r="R283" s="18"/>
      <c r="S283" s="18"/>
      <c r="T283" s="18"/>
      <c r="U283" s="18"/>
      <c r="V283" s="18"/>
      <c r="W283" s="18"/>
      <c r="X283" s="18"/>
      <c r="Y283" s="18"/>
    </row>
    <row r="284" spans="1:25" ht="32.25" customHeight="1">
      <c r="A284" s="172" t="s">
        <v>98</v>
      </c>
      <c r="B284" s="23" t="s">
        <v>90</v>
      </c>
      <c r="C284" s="24" t="s">
        <v>138</v>
      </c>
      <c r="D284" s="25" t="s">
        <v>100</v>
      </c>
      <c r="E284" s="93"/>
      <c r="K284" s="183"/>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https://www.comunidad.madrid/transparencia/</v>
      </c>
      <c r="D285" s="99" t="s">
        <v>103</v>
      </c>
      <c r="E285" s="79" t="str">
        <f t="shared" ref="E285:E319" si="14">IF(D285&lt;&gt;"",IF(AND(B285&lt;&gt;"",C285&lt;&gt;""),"","ERR"),"")</f>
        <v/>
      </c>
      <c r="F285" s="86" t="s">
        <v>101</v>
      </c>
      <c r="G285" s="87" t="s">
        <v>102</v>
      </c>
      <c r="H285" s="88" t="s">
        <v>103</v>
      </c>
      <c r="I285" s="89" t="s">
        <v>93</v>
      </c>
      <c r="J285" s="90" t="s">
        <v>91</v>
      </c>
      <c r="K285" s="178"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Aviso legal</v>
      </c>
      <c r="C286" s="85" t="str" cm="1">
        <f t="array" ref="C286">IFERROR(INDEX('03.Muestra'!$F$8:$F$42,SMALL(IF("Página Web"='03.Muestra'!$D$8:$D$42,ROW('03.Muestra'!$F$8:$F$42)-MIN(ROW('03.Muestra'!$D$8:$D$42))+1,""),ROW()-284)),"")</f>
        <v>https://www.comunidad.madrid/transparencia/aviso-legal</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14</v>
      </c>
      <c r="I286" s="91">
        <f ca="1">COUNTIF($D285:INDIRECT("$D" &amp;  SUM(ROW()-1,'03.Muestra'!$D$45)-1),I285)</f>
        <v>0</v>
      </c>
      <c r="J286" s="91">
        <f ca="1">COUNTIF($D285:INDIRECT("$D" &amp;  SUM(ROW()-1,'03.Muestra'!$D$45)-1),J285)</f>
        <v>0</v>
      </c>
      <c r="K286" s="179">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Accesibilidad</v>
      </c>
      <c r="C287" s="85" t="str" cm="1">
        <f t="array" ref="C287">IFERROR(INDEX('03.Muestra'!$F$8:$F$42,SMALL(IF("Página Web"='03.Muestra'!$D$8:$D$42,ROW('03.Muestra'!$F$8:$F$42)-MIN(ROW('03.Muestra'!$D$8:$D$42))+1,""),ROW()-284)),"")</f>
        <v>https://www.comunidad.madrid/transparencia/declaracion-accesibilidad</v>
      </c>
      <c r="D287" s="99" t="s">
        <v>103</v>
      </c>
      <c r="E287" s="79" t="str">
        <f t="shared" si="14"/>
        <v/>
      </c>
      <c r="K287" s="183"/>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Tranparencia</v>
      </c>
      <c r="C288" s="85" t="str" cm="1">
        <f t="array" ref="C288">IFERROR(INDEX('03.Muestra'!$F$8:$F$42,SMALL(IF("Página Web"='03.Muestra'!$D$8:$D$42,ROW('03.Muestra'!$F$8:$F$42)-MIN(ROW('03.Muestra'!$D$8:$D$42))+1,""),ROW()-284)),"")</f>
        <v>https://www.comunidad.madrid/transparencia/que-es-transparencia</v>
      </c>
      <c r="D288" s="99" t="s">
        <v>103</v>
      </c>
      <c r="E288" s="79" t="str">
        <f t="shared" si="14"/>
        <v/>
      </c>
      <c r="G288" s="18"/>
      <c r="H288" s="18"/>
      <c r="I288" s="18"/>
      <c r="J288" s="18"/>
      <c r="K288" s="183"/>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Organización</v>
      </c>
      <c r="C289" s="85" t="str" cm="1">
        <f t="array" ref="C289">IFERROR(INDEX('03.Muestra'!$F$8:$F$42,SMALL(IF("Página Web"='03.Muestra'!$D$8:$D$42,ROW('03.Muestra'!$F$8:$F$42)-MIN(ROW('03.Muestra'!$D$8:$D$42))+1,""),ROW()-284)),"")</f>
        <v>https://www.comunidad.madrid/transparencia/organizacion-recursos/organizacion</v>
      </c>
      <c r="D289" s="99" t="s">
        <v>103</v>
      </c>
      <c r="E289" s="79" t="str">
        <f t="shared" si="14"/>
        <v/>
      </c>
      <c r="G289" s="18"/>
      <c r="H289" s="18"/>
      <c r="I289" s="18"/>
      <c r="J289" s="18"/>
      <c r="K289" s="183"/>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Quejas</v>
      </c>
      <c r="C290" s="85" t="str" cm="1">
        <f t="array" ref="C290">IFERROR(INDEX('03.Muestra'!$F$8:$F$42,SMALL(IF("Página Web"='03.Muestra'!$D$8:$D$42,ROW('03.Muestra'!$F$8:$F$42)-MIN(ROW('03.Muestra'!$D$8:$D$42))+1,""),ROW()-284)),"")</f>
        <v>https://www.comunidad.madrid/transparencia/quejas-y-reclamaciones</v>
      </c>
      <c r="D290" s="99" t="s">
        <v>103</v>
      </c>
      <c r="E290" s="79" t="str">
        <f t="shared" si="14"/>
        <v/>
      </c>
      <c r="G290" s="18"/>
      <c r="H290" s="18"/>
      <c r="I290" s="18"/>
      <c r="J290" s="18"/>
      <c r="K290" s="183"/>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Contratos</v>
      </c>
      <c r="C291" s="85" t="str" cm="1">
        <f t="array" ref="C291">IFERROR(INDEX('03.Muestra'!$F$8:$F$42,SMALL(IF("Página Web"='03.Muestra'!$D$8:$D$42,ROW('03.Muestra'!$F$8:$F$42)-MIN(ROW('03.Muestra'!$D$8:$D$42))+1,""),ROW()-284)),"")</f>
        <v>https://www.comunidad.madrid/transparencia/contratos</v>
      </c>
      <c r="D291" s="99" t="s">
        <v>103</v>
      </c>
      <c r="E291" s="79" t="str">
        <f t="shared" si="14"/>
        <v/>
      </c>
      <c r="F291" s="18"/>
      <c r="G291" s="18"/>
      <c r="H291" s="18"/>
      <c r="I291" s="18"/>
      <c r="J291" s="18"/>
      <c r="K291" s="183"/>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Consulta</v>
      </c>
      <c r="C292" s="85" t="str" cm="1">
        <f t="array" ref="C292">IFERROR(INDEX('03.Muestra'!$F$8:$F$42,SMALL(IF("Página Web"='03.Muestra'!$D$8:$D$42,ROW('03.Muestra'!$F$8:$F$42)-MIN(ROW('03.Muestra'!$D$8:$D$42))+1,""),ROW()-284)),"")</f>
        <v>https://www.comunidad.madrid/transparencia/normativa-planificacion/consulta-publica</v>
      </c>
      <c r="D292" s="99" t="s">
        <v>103</v>
      </c>
      <c r="E292" s="79" t="str">
        <f t="shared" si="14"/>
        <v/>
      </c>
      <c r="F292" s="18"/>
      <c r="G292" s="18"/>
      <c r="H292" s="18"/>
      <c r="I292" s="18"/>
      <c r="J292" s="18"/>
      <c r="K292" s="183"/>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Proyecto</v>
      </c>
      <c r="C293" s="85" t="str" cm="1">
        <f t="array" ref="C293">IFERROR(INDEX('03.Muestra'!$F$8:$F$42,SMALL(IF("Página Web"='03.Muestra'!$D$8:$D$42,ROW('03.Muestra'!$F$8:$F$42)-MIN(ROW('03.Muestra'!$D$8:$D$42))+1,""),ROW()-284)),"")</f>
        <v>https://www.comunidad.madrid/transparencia/proyecto-orden-que-se-crea-comision-farmacia-y-productos-sanitarios-cm-y-se-establece-su-composicion</v>
      </c>
      <c r="D293" s="99" t="s">
        <v>103</v>
      </c>
      <c r="E293" s="79" t="str">
        <f t="shared" si="14"/>
        <v/>
      </c>
      <c r="F293" s="18"/>
      <c r="G293" s="18"/>
      <c r="H293" s="18"/>
      <c r="I293" s="18"/>
      <c r="J293" s="18"/>
      <c r="K293" s="183"/>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Planes y Programas</v>
      </c>
      <c r="C294" s="85" t="str" cm="1">
        <f t="array" ref="C294">IFERROR(INDEX('03.Muestra'!$F$8:$F$42,SMALL(IF("Página Web"='03.Muestra'!$D$8:$D$42,ROW('03.Muestra'!$F$8:$F$42)-MIN(ROW('03.Muestra'!$D$8:$D$42))+1,""),ROW()-284)),"")</f>
        <v>https://www.comunidad.madrid/transparencia/normativa-planificacion/planes-programas</v>
      </c>
      <c r="D294" s="99" t="s">
        <v>103</v>
      </c>
      <c r="E294" s="79" t="str">
        <f t="shared" si="14"/>
        <v/>
      </c>
      <c r="F294" s="18"/>
      <c r="G294" s="18"/>
      <c r="H294" s="18"/>
      <c r="I294" s="18"/>
      <c r="J294" s="18"/>
      <c r="K294" s="183"/>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Estrategia</v>
      </c>
      <c r="C295" s="85" t="str" cm="1">
        <f t="array" ref="C295">IFERROR(INDEX('03.Muestra'!$F$8:$F$42,SMALL(IF("Página Web"='03.Muestra'!$D$8:$D$42,ROW('03.Muestra'!$F$8:$F$42)-MIN(ROW('03.Muestra'!$D$8:$D$42))+1,""),ROW()-284)),"")</f>
        <v>https://www.comunidad.madrid/transparencia/informacion-institucional/planes-programas/estrategia-seguridad-del-paciente-del-servicio-madrileno</v>
      </c>
      <c r="D295" s="99" t="s">
        <v>103</v>
      </c>
      <c r="E295" s="79" t="str">
        <f t="shared" si="14"/>
        <v/>
      </c>
      <c r="F295" s="18"/>
      <c r="G295" s="18"/>
      <c r="H295" s="18"/>
      <c r="I295" s="18"/>
      <c r="J295" s="18"/>
      <c r="K295" s="183"/>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Huella</v>
      </c>
      <c r="C296" s="85" t="str" cm="1">
        <f t="array" ref="C296">IFERROR(INDEX('03.Muestra'!$F$8:$F$42,SMALL(IF("Página Web"='03.Muestra'!$D$8:$D$42,ROW('03.Muestra'!$F$8:$F$42)-MIN(ROW('03.Muestra'!$D$8:$D$42))+1,""),ROW()-284)),"")</f>
        <v>https://www.comunidad.madrid/transparencia/normativa-planificacion/huella-normativa</v>
      </c>
      <c r="D296" s="99" t="s">
        <v>103</v>
      </c>
      <c r="E296" s="79" t="str">
        <f t="shared" si="14"/>
        <v/>
      </c>
      <c r="F296" s="18"/>
      <c r="G296" s="18"/>
      <c r="H296" s="18"/>
      <c r="I296" s="18"/>
      <c r="J296" s="18"/>
      <c r="K296" s="183"/>
      <c r="L296" s="18"/>
      <c r="M296" s="18"/>
      <c r="N296" s="18"/>
      <c r="O296" s="18"/>
      <c r="P296" s="18"/>
      <c r="Q296" s="18"/>
      <c r="R296" s="18"/>
      <c r="S296" s="18"/>
      <c r="T296" s="18"/>
      <c r="U296" s="18"/>
      <c r="V296" s="18"/>
      <c r="W296" s="18"/>
      <c r="X296" s="18"/>
      <c r="Y296" s="18"/>
    </row>
    <row r="297" spans="1:25" ht="14.15"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Decreto</v>
      </c>
      <c r="C297" s="85" t="str" cm="1">
        <f t="array" ref="C297">IFERROR(INDEX('03.Muestra'!$F$8:$F$42,SMALL(IF("Página Web"='03.Muestra'!$D$8:$D$42,ROW('03.Muestra'!$F$8:$F$42)-MIN(ROW('03.Muestra'!$D$8:$D$42))+1,""),ROW()-284)),"")</f>
        <v>https://www.comunidad.madrid/transparencia/decreto-del-consejo-gobierno-que-se-establece-estructura-organica-consejeria-familia-juventud-y</v>
      </c>
      <c r="D297" s="99" t="s">
        <v>103</v>
      </c>
      <c r="E297" s="79" t="str">
        <f t="shared" si="14"/>
        <v/>
      </c>
      <c r="F297" s="18"/>
      <c r="G297" s="18"/>
      <c r="H297" s="18"/>
      <c r="I297" s="18"/>
      <c r="J297" s="18"/>
      <c r="K297" s="183"/>
      <c r="L297" s="18"/>
      <c r="M297" s="18"/>
      <c r="N297" s="18"/>
      <c r="O297" s="18"/>
      <c r="P297" s="18"/>
      <c r="Q297" s="18"/>
      <c r="R297" s="18"/>
      <c r="S297" s="18"/>
      <c r="T297" s="18"/>
      <c r="U297" s="18"/>
      <c r="V297" s="18"/>
      <c r="W297" s="18"/>
      <c r="X297" s="18"/>
      <c r="Y297" s="18"/>
    </row>
    <row r="298" spans="1:25" ht="14.15"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Entidades Locales</v>
      </c>
      <c r="C298" s="85" t="str" cm="1">
        <f t="array" ref="C298">IFERROR(INDEX('03.Muestra'!$F$8:$F$42,SMALL(IF("Página Web"='03.Muestra'!$D$8:$D$42,ROW('03.Muestra'!$F$8:$F$42)-MIN(ROW('03.Muestra'!$D$8:$D$42))+1,""),ROW()-284)),"")</f>
        <v>https://www.comunidad.madrid/transparencia/entidades-locales</v>
      </c>
      <c r="D298" s="99" t="s">
        <v>103</v>
      </c>
      <c r="E298" s="79" t="str">
        <f t="shared" si="14"/>
        <v/>
      </c>
      <c r="F298" s="18"/>
      <c r="G298" s="18"/>
      <c r="H298" s="18"/>
      <c r="I298" s="18"/>
      <c r="J298" s="18"/>
      <c r="K298" s="183"/>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99:D319" si="15">IF(AND(B299&lt;&gt;"",C299&lt;&gt;""),"N/T","")</f>
        <v/>
      </c>
      <c r="E299" s="79" t="str">
        <f t="shared" si="14"/>
        <v/>
      </c>
      <c r="F299" s="18"/>
      <c r="G299" s="18"/>
      <c r="H299" s="18"/>
      <c r="I299" s="18"/>
      <c r="J299" s="18"/>
      <c r="K299" s="183"/>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3"/>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3"/>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3"/>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3"/>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3"/>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3"/>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3"/>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3"/>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3"/>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3"/>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3"/>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3"/>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3"/>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3"/>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3"/>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3"/>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3"/>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3"/>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3"/>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3"/>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3"/>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3"/>
      <c r="L321" s="18"/>
      <c r="M321" s="18"/>
      <c r="N321" s="18"/>
      <c r="O321" s="18"/>
      <c r="P321" s="18"/>
      <c r="Q321" s="18"/>
      <c r="R321" s="18"/>
      <c r="S321" s="18"/>
      <c r="T321" s="18"/>
      <c r="U321" s="18"/>
      <c r="V321" s="18"/>
      <c r="W321" s="18"/>
      <c r="X321" s="18"/>
      <c r="Y321" s="18"/>
    </row>
    <row r="322" spans="1:25" ht="32.25" customHeight="1">
      <c r="A322" s="172" t="s">
        <v>98</v>
      </c>
      <c r="B322" s="23" t="s">
        <v>90</v>
      </c>
      <c r="C322" s="24" t="s">
        <v>139</v>
      </c>
      <c r="D322" s="25" t="s">
        <v>100</v>
      </c>
      <c r="E322" s="93"/>
      <c r="K322" s="183"/>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https://www.comunidad.madrid/transparencia/</v>
      </c>
      <c r="D323" s="99" t="s">
        <v>103</v>
      </c>
      <c r="E323" s="79" t="str">
        <f t="shared" ref="E323:E357" si="16">IF(D323&lt;&gt;"",IF(AND(B323&lt;&gt;"",C323&lt;&gt;""),"","ERR"),"")</f>
        <v/>
      </c>
      <c r="F323" s="86" t="s">
        <v>101</v>
      </c>
      <c r="G323" s="87" t="s">
        <v>102</v>
      </c>
      <c r="H323" s="88" t="s">
        <v>103</v>
      </c>
      <c r="I323" s="89" t="s">
        <v>93</v>
      </c>
      <c r="J323" s="90" t="s">
        <v>91</v>
      </c>
      <c r="K323" s="178"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Aviso legal</v>
      </c>
      <c r="C324" s="85" t="str" cm="1">
        <f t="array" ref="C324">IFERROR(INDEX('03.Muestra'!$F$8:$F$42,SMALL(IF("Página Web"='03.Muestra'!$D$8:$D$42,ROW('03.Muestra'!$F$8:$F$42)-MIN(ROW('03.Muestra'!$D$8:$D$42))+1,""),ROW()-322)),"")</f>
        <v>https://www.comunidad.madrid/transparencia/aviso-legal</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14</v>
      </c>
      <c r="I324" s="91">
        <f ca="1">COUNTIF($D323:INDIRECT("$D" &amp;  SUM(ROW()-1,'03.Muestra'!$D$45)-1),I323)</f>
        <v>0</v>
      </c>
      <c r="J324" s="91">
        <f ca="1">COUNTIF($D323:INDIRECT("$D" &amp;  SUM(ROW()-1,'03.Muestra'!$D$45)-1),J323)</f>
        <v>0</v>
      </c>
      <c r="K324" s="179">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Accesibilidad</v>
      </c>
      <c r="C325" s="85" t="str" cm="1">
        <f t="array" ref="C325">IFERROR(INDEX('03.Muestra'!$F$8:$F$42,SMALL(IF("Página Web"='03.Muestra'!$D$8:$D$42,ROW('03.Muestra'!$F$8:$F$42)-MIN(ROW('03.Muestra'!$D$8:$D$42))+1,""),ROW()-322)),"")</f>
        <v>https://www.comunidad.madrid/transparencia/declaracion-accesibilidad</v>
      </c>
      <c r="D325" s="99" t="s">
        <v>103</v>
      </c>
      <c r="E325" s="79" t="str">
        <f t="shared" si="16"/>
        <v/>
      </c>
      <c r="G325" s="18"/>
      <c r="H325" s="18"/>
      <c r="I325" s="18"/>
      <c r="J325" s="18"/>
      <c r="K325" s="183"/>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Tranparencia</v>
      </c>
      <c r="C326" s="85" t="str" cm="1">
        <f t="array" ref="C326">IFERROR(INDEX('03.Muestra'!$F$8:$F$42,SMALL(IF("Página Web"='03.Muestra'!$D$8:$D$42,ROW('03.Muestra'!$F$8:$F$42)-MIN(ROW('03.Muestra'!$D$8:$D$42))+1,""),ROW()-322)),"")</f>
        <v>https://www.comunidad.madrid/transparencia/que-es-transparencia</v>
      </c>
      <c r="D326" s="99" t="s">
        <v>103</v>
      </c>
      <c r="E326" s="79" t="str">
        <f t="shared" si="16"/>
        <v/>
      </c>
      <c r="G326" s="18"/>
      <c r="H326" s="18"/>
      <c r="I326" s="18"/>
      <c r="J326" s="18"/>
      <c r="K326" s="183"/>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Organización</v>
      </c>
      <c r="C327" s="85" t="str" cm="1">
        <f t="array" ref="C327">IFERROR(INDEX('03.Muestra'!$F$8:$F$42,SMALL(IF("Página Web"='03.Muestra'!$D$8:$D$42,ROW('03.Muestra'!$F$8:$F$42)-MIN(ROW('03.Muestra'!$D$8:$D$42))+1,""),ROW()-322)),"")</f>
        <v>https://www.comunidad.madrid/transparencia/organizacion-recursos/organizacion</v>
      </c>
      <c r="D327" s="99" t="s">
        <v>103</v>
      </c>
      <c r="E327" s="79" t="str">
        <f t="shared" si="16"/>
        <v/>
      </c>
      <c r="G327" s="18"/>
      <c r="H327" s="18"/>
      <c r="I327" s="18"/>
      <c r="J327" s="18"/>
      <c r="K327" s="183"/>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Quejas</v>
      </c>
      <c r="C328" s="85" t="str" cm="1">
        <f t="array" ref="C328">IFERROR(INDEX('03.Muestra'!$F$8:$F$42,SMALL(IF("Página Web"='03.Muestra'!$D$8:$D$42,ROW('03.Muestra'!$F$8:$F$42)-MIN(ROW('03.Muestra'!$D$8:$D$42))+1,""),ROW()-322)),"")</f>
        <v>https://www.comunidad.madrid/transparencia/quejas-y-reclamaciones</v>
      </c>
      <c r="D328" s="99" t="s">
        <v>103</v>
      </c>
      <c r="E328" s="79" t="str">
        <f t="shared" si="16"/>
        <v/>
      </c>
      <c r="G328" s="18"/>
      <c r="H328" s="18"/>
      <c r="I328" s="18"/>
      <c r="J328" s="18"/>
      <c r="K328" s="183"/>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Contratos</v>
      </c>
      <c r="C329" s="85" t="str" cm="1">
        <f t="array" ref="C329">IFERROR(INDEX('03.Muestra'!$F$8:$F$42,SMALL(IF("Página Web"='03.Muestra'!$D$8:$D$42,ROW('03.Muestra'!$F$8:$F$42)-MIN(ROW('03.Muestra'!$D$8:$D$42))+1,""),ROW()-322)),"")</f>
        <v>https://www.comunidad.madrid/transparencia/contratos</v>
      </c>
      <c r="D329" s="99" t="s">
        <v>103</v>
      </c>
      <c r="E329" s="79" t="str">
        <f t="shared" si="16"/>
        <v/>
      </c>
      <c r="F329" s="18"/>
      <c r="G329" s="18"/>
      <c r="H329" s="18"/>
      <c r="I329" s="18"/>
      <c r="J329" s="18"/>
      <c r="K329" s="183"/>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Consulta</v>
      </c>
      <c r="C330" s="85" t="str" cm="1">
        <f t="array" ref="C330">IFERROR(INDEX('03.Muestra'!$F$8:$F$42,SMALL(IF("Página Web"='03.Muestra'!$D$8:$D$42,ROW('03.Muestra'!$F$8:$F$42)-MIN(ROW('03.Muestra'!$D$8:$D$42))+1,""),ROW()-322)),"")</f>
        <v>https://www.comunidad.madrid/transparencia/normativa-planificacion/consulta-publica</v>
      </c>
      <c r="D330" s="99" t="s">
        <v>103</v>
      </c>
      <c r="E330" s="79" t="str">
        <f t="shared" si="16"/>
        <v/>
      </c>
      <c r="F330" s="18"/>
      <c r="G330" s="18"/>
      <c r="H330" s="18"/>
      <c r="I330" s="18"/>
      <c r="J330" s="18"/>
      <c r="K330" s="183"/>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Proyecto</v>
      </c>
      <c r="C331" s="85" t="str" cm="1">
        <f t="array" ref="C331">IFERROR(INDEX('03.Muestra'!$F$8:$F$42,SMALL(IF("Página Web"='03.Muestra'!$D$8:$D$42,ROW('03.Muestra'!$F$8:$F$42)-MIN(ROW('03.Muestra'!$D$8:$D$42))+1,""),ROW()-322)),"")</f>
        <v>https://www.comunidad.madrid/transparencia/proyecto-orden-que-se-crea-comision-farmacia-y-productos-sanitarios-cm-y-se-establece-su-composicion</v>
      </c>
      <c r="D331" s="99" t="s">
        <v>103</v>
      </c>
      <c r="E331" s="79" t="str">
        <f t="shared" si="16"/>
        <v/>
      </c>
      <c r="F331" s="18"/>
      <c r="G331" s="18"/>
      <c r="H331" s="18"/>
      <c r="I331" s="18"/>
      <c r="J331" s="18"/>
      <c r="K331" s="183"/>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Planes y Programas</v>
      </c>
      <c r="C332" s="85" t="str" cm="1">
        <f t="array" ref="C332">IFERROR(INDEX('03.Muestra'!$F$8:$F$42,SMALL(IF("Página Web"='03.Muestra'!$D$8:$D$42,ROW('03.Muestra'!$F$8:$F$42)-MIN(ROW('03.Muestra'!$D$8:$D$42))+1,""),ROW()-322)),"")</f>
        <v>https://www.comunidad.madrid/transparencia/normativa-planificacion/planes-programas</v>
      </c>
      <c r="D332" s="99" t="s">
        <v>103</v>
      </c>
      <c r="E332" s="79" t="str">
        <f t="shared" si="16"/>
        <v/>
      </c>
      <c r="F332" s="18"/>
      <c r="G332" s="18"/>
      <c r="H332" s="18"/>
      <c r="I332" s="18"/>
      <c r="J332" s="18"/>
      <c r="K332" s="183"/>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Estrategia</v>
      </c>
      <c r="C333" s="85" t="str" cm="1">
        <f t="array" ref="C333">IFERROR(INDEX('03.Muestra'!$F$8:$F$42,SMALL(IF("Página Web"='03.Muestra'!$D$8:$D$42,ROW('03.Muestra'!$F$8:$F$42)-MIN(ROW('03.Muestra'!$D$8:$D$42))+1,""),ROW()-322)),"")</f>
        <v>https://www.comunidad.madrid/transparencia/informacion-institucional/planes-programas/estrategia-seguridad-del-paciente-del-servicio-madrileno</v>
      </c>
      <c r="D333" s="99" t="s">
        <v>103</v>
      </c>
      <c r="E333" s="79" t="str">
        <f t="shared" si="16"/>
        <v/>
      </c>
      <c r="F333" s="18"/>
      <c r="G333" s="18"/>
      <c r="H333" s="18"/>
      <c r="I333" s="18"/>
      <c r="J333" s="18"/>
      <c r="K333" s="183"/>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Huella</v>
      </c>
      <c r="C334" s="85" t="str" cm="1">
        <f t="array" ref="C334">IFERROR(INDEX('03.Muestra'!$F$8:$F$42,SMALL(IF("Página Web"='03.Muestra'!$D$8:$D$42,ROW('03.Muestra'!$F$8:$F$42)-MIN(ROW('03.Muestra'!$D$8:$D$42))+1,""),ROW()-322)),"")</f>
        <v>https://www.comunidad.madrid/transparencia/normativa-planificacion/huella-normativa</v>
      </c>
      <c r="D334" s="99" t="s">
        <v>103</v>
      </c>
      <c r="E334" s="79" t="str">
        <f t="shared" si="16"/>
        <v/>
      </c>
      <c r="F334" s="18"/>
      <c r="G334" s="18"/>
      <c r="H334" s="18"/>
      <c r="I334" s="18"/>
      <c r="J334" s="18"/>
      <c r="K334" s="183"/>
      <c r="L334" s="18"/>
      <c r="M334" s="18"/>
      <c r="N334" s="18"/>
      <c r="O334" s="18"/>
      <c r="P334" s="18"/>
      <c r="Q334" s="18"/>
      <c r="R334" s="18"/>
      <c r="S334" s="18"/>
      <c r="T334" s="18"/>
      <c r="U334" s="18"/>
      <c r="V334" s="18"/>
      <c r="W334" s="18"/>
      <c r="X334" s="18"/>
      <c r="Y334" s="18"/>
    </row>
    <row r="335" spans="1:25" ht="14.15"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Decreto</v>
      </c>
      <c r="C335" s="85" t="str" cm="1">
        <f t="array" ref="C335">IFERROR(INDEX('03.Muestra'!$F$8:$F$42,SMALL(IF("Página Web"='03.Muestra'!$D$8:$D$42,ROW('03.Muestra'!$F$8:$F$42)-MIN(ROW('03.Muestra'!$D$8:$D$42))+1,""),ROW()-322)),"")</f>
        <v>https://www.comunidad.madrid/transparencia/decreto-del-consejo-gobierno-que-se-establece-estructura-organica-consejeria-familia-juventud-y</v>
      </c>
      <c r="D335" s="99" t="s">
        <v>103</v>
      </c>
      <c r="E335" s="79" t="str">
        <f t="shared" si="16"/>
        <v/>
      </c>
      <c r="F335" s="18"/>
      <c r="G335" s="18"/>
      <c r="H335" s="18"/>
      <c r="I335" s="18"/>
      <c r="J335" s="18"/>
      <c r="K335" s="183"/>
      <c r="L335" s="18"/>
      <c r="M335" s="18"/>
      <c r="N335" s="18"/>
      <c r="O335" s="18"/>
      <c r="P335" s="18"/>
      <c r="Q335" s="18"/>
      <c r="R335" s="18"/>
      <c r="S335" s="18"/>
      <c r="T335" s="18"/>
      <c r="U335" s="18"/>
      <c r="V335" s="18"/>
      <c r="W335" s="18"/>
      <c r="X335" s="18"/>
      <c r="Y335" s="18"/>
    </row>
    <row r="336" spans="1:25" ht="14.15"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Entidades Locales</v>
      </c>
      <c r="C336" s="85" t="str" cm="1">
        <f t="array" ref="C336">IFERROR(INDEX('03.Muestra'!$F$8:$F$42,SMALL(IF("Página Web"='03.Muestra'!$D$8:$D$42,ROW('03.Muestra'!$F$8:$F$42)-MIN(ROW('03.Muestra'!$D$8:$D$42))+1,""),ROW()-322)),"")</f>
        <v>https://www.comunidad.madrid/transparencia/entidades-locales</v>
      </c>
      <c r="D336" s="99" t="s">
        <v>103</v>
      </c>
      <c r="E336" s="79" t="str">
        <f t="shared" si="16"/>
        <v/>
      </c>
      <c r="F336" s="18"/>
      <c r="G336" s="18"/>
      <c r="H336" s="18"/>
      <c r="I336" s="18"/>
      <c r="J336" s="18"/>
      <c r="K336" s="183"/>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37:D357" si="17">IF(AND(B337&lt;&gt;"",C337&lt;&gt;""),"N/T","")</f>
        <v/>
      </c>
      <c r="E337" s="79" t="str">
        <f t="shared" si="16"/>
        <v/>
      </c>
      <c r="F337" s="18"/>
      <c r="G337" s="18"/>
      <c r="H337" s="18"/>
      <c r="I337" s="18"/>
      <c r="J337" s="18"/>
      <c r="K337" s="183"/>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3"/>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3"/>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3"/>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3"/>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3"/>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3"/>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3"/>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3"/>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3"/>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3"/>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3"/>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3"/>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3"/>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3"/>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3"/>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3"/>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3"/>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3"/>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3"/>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3"/>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3"/>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3"/>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3"/>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3"/>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3"/>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3"/>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3"/>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3"/>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3"/>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3"/>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3"/>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3"/>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3"/>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3"/>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3"/>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3"/>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3"/>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3"/>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3"/>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3"/>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3"/>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3"/>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3"/>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3"/>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3"/>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3"/>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3"/>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3"/>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3"/>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3"/>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3"/>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3"/>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3"/>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3"/>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3"/>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3"/>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3"/>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3"/>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3"/>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3"/>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3"/>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3"/>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3"/>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3"/>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3"/>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3"/>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3"/>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3"/>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3"/>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3"/>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3"/>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3"/>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3"/>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3"/>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3"/>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3"/>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3"/>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3"/>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3"/>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3"/>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3"/>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3"/>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3"/>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3"/>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3"/>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3"/>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3"/>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3"/>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3"/>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3"/>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3"/>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3"/>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3"/>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3"/>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3"/>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3"/>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3"/>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3"/>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3"/>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3"/>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3"/>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3"/>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3"/>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3"/>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3"/>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3"/>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3"/>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3"/>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3"/>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3"/>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3"/>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3"/>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3"/>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3"/>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3"/>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3"/>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3"/>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3"/>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3"/>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3"/>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3"/>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3"/>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3"/>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3"/>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3"/>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3"/>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3"/>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3"/>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3"/>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3"/>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3"/>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3"/>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3"/>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3"/>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3"/>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3"/>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3"/>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3"/>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3"/>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3"/>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3"/>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3"/>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3"/>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3"/>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3"/>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3"/>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3"/>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3"/>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3"/>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3"/>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3"/>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3"/>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3"/>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3"/>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3"/>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3"/>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3"/>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3"/>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3"/>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3"/>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3"/>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3"/>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3"/>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3"/>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3"/>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3"/>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3"/>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3"/>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3"/>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3"/>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3"/>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3"/>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3"/>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3"/>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3"/>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3"/>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3"/>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3"/>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3"/>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3"/>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3"/>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3"/>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3"/>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3"/>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3"/>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3"/>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3"/>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3"/>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3"/>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3"/>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3"/>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3"/>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3"/>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3"/>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3"/>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3"/>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3"/>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3"/>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3"/>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3"/>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3"/>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3"/>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3"/>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3"/>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3"/>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3"/>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3"/>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3"/>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3"/>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3"/>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3"/>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3"/>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3"/>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3"/>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3"/>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3"/>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3"/>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3"/>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3"/>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3"/>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3"/>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3"/>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3"/>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3"/>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3"/>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3"/>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3"/>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3"/>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3"/>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3"/>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3"/>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3"/>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3"/>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3"/>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3"/>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3"/>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3"/>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3"/>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3"/>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3"/>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3"/>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3"/>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3"/>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3"/>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3"/>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3"/>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3"/>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3"/>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3"/>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3"/>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3"/>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3"/>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3"/>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3"/>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3"/>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3"/>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3"/>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3"/>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3"/>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3"/>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3"/>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3"/>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E57:E91 E95:E129 E209:E243 E247:E281 E285:E319 E323:E357 E19:E53">
    <cfRule type="cellIs" dxfId="1283" priority="350" stopIfTrue="1" operator="equal">
      <formula>"ERR"</formula>
    </cfRule>
  </conditionalFormatting>
  <conditionalFormatting sqref="F19:J19 F57:J57 F95:J95 F209:J209 F247:J247 F285:J285 F323:J323 F133:J133 F171:J171">
    <cfRule type="expression" dxfId="1282" priority="344" stopIfTrue="1">
      <formula>ISBLANK(F19)</formula>
    </cfRule>
    <cfRule type="cellIs" dxfId="1281" priority="345" stopIfTrue="1" operator="equal">
      <formula>"Pasa"</formula>
    </cfRule>
    <cfRule type="cellIs" dxfId="1280" priority="346" stopIfTrue="1" operator="equal">
      <formula>"Falla"</formula>
    </cfRule>
    <cfRule type="cellIs" dxfId="1279" priority="347" stopIfTrue="1" operator="equal">
      <formula>"N/A"</formula>
    </cfRule>
    <cfRule type="cellIs" dxfId="1278" priority="348" stopIfTrue="1" operator="equal">
      <formula>"N/T"</formula>
    </cfRule>
    <cfRule type="cellIs" dxfId="1277" priority="349" stopIfTrue="1" operator="equal">
      <formula>"N/D"</formula>
    </cfRule>
  </conditionalFormatting>
  <conditionalFormatting sqref="D21:D53">
    <cfRule type="expression" dxfId="1276" priority="224" stopIfTrue="1">
      <formula>ISBLANK(D21)</formula>
    </cfRule>
    <cfRule type="cellIs" dxfId="1275" priority="225" stopIfTrue="1" operator="equal">
      <formula>"Pasa"</formula>
    </cfRule>
    <cfRule type="cellIs" dxfId="1274" priority="226" stopIfTrue="1" operator="equal">
      <formula>"Falla"</formula>
    </cfRule>
    <cfRule type="cellIs" dxfId="1273" priority="227" stopIfTrue="1" operator="equal">
      <formula>"N/A"</formula>
    </cfRule>
    <cfRule type="cellIs" dxfId="1272" priority="228" stopIfTrue="1" operator="equal">
      <formula>"N/T"</formula>
    </cfRule>
    <cfRule type="cellIs" dxfId="1271" priority="229" stopIfTrue="1" operator="equal">
      <formula>"N/D"</formula>
    </cfRule>
  </conditionalFormatting>
  <conditionalFormatting sqref="D21:D53">
    <cfRule type="cellIs" dxfId="1270" priority="223" stopIfTrue="1" operator="equal">
      <formula>"-"</formula>
    </cfRule>
  </conditionalFormatting>
  <conditionalFormatting sqref="D59:D91">
    <cfRule type="expression" dxfId="1269" priority="217" stopIfTrue="1">
      <formula>ISBLANK(D59)</formula>
    </cfRule>
    <cfRule type="cellIs" dxfId="1268" priority="218" stopIfTrue="1" operator="equal">
      <formula>"Pasa"</formula>
    </cfRule>
    <cfRule type="cellIs" dxfId="1267" priority="219" stopIfTrue="1" operator="equal">
      <formula>"Falla"</formula>
    </cfRule>
    <cfRule type="cellIs" dxfId="1266" priority="220" stopIfTrue="1" operator="equal">
      <formula>"N/A"</formula>
    </cfRule>
    <cfRule type="cellIs" dxfId="1265" priority="221" stopIfTrue="1" operator="equal">
      <formula>"N/T"</formula>
    </cfRule>
    <cfRule type="cellIs" dxfId="1264" priority="222" stopIfTrue="1" operator="equal">
      <formula>"N/D"</formula>
    </cfRule>
  </conditionalFormatting>
  <conditionalFormatting sqref="D59:D91">
    <cfRule type="cellIs" dxfId="1263" priority="216" stopIfTrue="1" operator="equal">
      <formula>"-"</formula>
    </cfRule>
  </conditionalFormatting>
  <conditionalFormatting sqref="D97:D129">
    <cfRule type="expression" dxfId="1262" priority="210" stopIfTrue="1">
      <formula>ISBLANK(D97)</formula>
    </cfRule>
    <cfRule type="cellIs" dxfId="1261" priority="211" stopIfTrue="1" operator="equal">
      <formula>"Pasa"</formula>
    </cfRule>
    <cfRule type="cellIs" dxfId="1260" priority="212" stopIfTrue="1" operator="equal">
      <formula>"Falla"</formula>
    </cfRule>
    <cfRule type="cellIs" dxfId="1259" priority="213" stopIfTrue="1" operator="equal">
      <formula>"N/A"</formula>
    </cfRule>
    <cfRule type="cellIs" dxfId="1258" priority="214" stopIfTrue="1" operator="equal">
      <formula>"N/T"</formula>
    </cfRule>
    <cfRule type="cellIs" dxfId="1257" priority="215" stopIfTrue="1" operator="equal">
      <formula>"N/D"</formula>
    </cfRule>
  </conditionalFormatting>
  <conditionalFormatting sqref="D97:D129">
    <cfRule type="cellIs" dxfId="1256" priority="209" stopIfTrue="1" operator="equal">
      <formula>"-"</formula>
    </cfRule>
  </conditionalFormatting>
  <conditionalFormatting sqref="D211:D243">
    <cfRule type="expression" dxfId="1255" priority="203" stopIfTrue="1">
      <formula>ISBLANK(D211)</formula>
    </cfRule>
    <cfRule type="cellIs" dxfId="1254" priority="204" stopIfTrue="1" operator="equal">
      <formula>"Pasa"</formula>
    </cfRule>
    <cfRule type="cellIs" dxfId="1253" priority="205" stopIfTrue="1" operator="equal">
      <formula>"Falla"</formula>
    </cfRule>
    <cfRule type="cellIs" dxfId="1252" priority="206" stopIfTrue="1" operator="equal">
      <formula>"N/A"</formula>
    </cfRule>
    <cfRule type="cellIs" dxfId="1251" priority="207" stopIfTrue="1" operator="equal">
      <formula>"N/T"</formula>
    </cfRule>
    <cfRule type="cellIs" dxfId="1250" priority="208" stopIfTrue="1" operator="equal">
      <formula>"N/D"</formula>
    </cfRule>
  </conditionalFormatting>
  <conditionalFormatting sqref="D211:D243">
    <cfRule type="cellIs" dxfId="1249" priority="202" stopIfTrue="1" operator="equal">
      <formula>"-"</formula>
    </cfRule>
  </conditionalFormatting>
  <conditionalFormatting sqref="D249:D281">
    <cfRule type="expression" dxfId="1248" priority="196" stopIfTrue="1">
      <formula>ISBLANK(D249)</formula>
    </cfRule>
    <cfRule type="cellIs" dxfId="1247" priority="197" stopIfTrue="1" operator="equal">
      <formula>"Pasa"</formula>
    </cfRule>
    <cfRule type="cellIs" dxfId="1246" priority="198" stopIfTrue="1" operator="equal">
      <formula>"Falla"</formula>
    </cfRule>
    <cfRule type="cellIs" dxfId="1245" priority="199" stopIfTrue="1" operator="equal">
      <formula>"N/A"</formula>
    </cfRule>
    <cfRule type="cellIs" dxfId="1244" priority="200" stopIfTrue="1" operator="equal">
      <formula>"N/T"</formula>
    </cfRule>
    <cfRule type="cellIs" dxfId="1243" priority="201" stopIfTrue="1" operator="equal">
      <formula>"N/D"</formula>
    </cfRule>
  </conditionalFormatting>
  <conditionalFormatting sqref="D249:D281">
    <cfRule type="cellIs" dxfId="1242" priority="195" stopIfTrue="1" operator="equal">
      <formula>"-"</formula>
    </cfRule>
  </conditionalFormatting>
  <conditionalFormatting sqref="D287:D319">
    <cfRule type="expression" dxfId="1241" priority="189" stopIfTrue="1">
      <formula>ISBLANK(D287)</formula>
    </cfRule>
    <cfRule type="cellIs" dxfId="1240" priority="190" stopIfTrue="1" operator="equal">
      <formula>"Pasa"</formula>
    </cfRule>
    <cfRule type="cellIs" dxfId="1239" priority="191" stopIfTrue="1" operator="equal">
      <formula>"Falla"</formula>
    </cfRule>
    <cfRule type="cellIs" dxfId="1238" priority="192" stopIfTrue="1" operator="equal">
      <formula>"N/A"</formula>
    </cfRule>
    <cfRule type="cellIs" dxfId="1237" priority="193" stopIfTrue="1" operator="equal">
      <formula>"N/T"</formula>
    </cfRule>
    <cfRule type="cellIs" dxfId="1236" priority="194" stopIfTrue="1" operator="equal">
      <formula>"N/D"</formula>
    </cfRule>
  </conditionalFormatting>
  <conditionalFormatting sqref="D287:D319">
    <cfRule type="cellIs" dxfId="1235" priority="188" stopIfTrue="1" operator="equal">
      <formula>"-"</formula>
    </cfRule>
  </conditionalFormatting>
  <conditionalFormatting sqref="D325:D357">
    <cfRule type="expression" dxfId="1234" priority="182" stopIfTrue="1">
      <formula>ISBLANK(D325)</formula>
    </cfRule>
    <cfRule type="cellIs" dxfId="1233" priority="183" stopIfTrue="1" operator="equal">
      <formula>"Pasa"</formula>
    </cfRule>
    <cfRule type="cellIs" dxfId="1232" priority="184" stopIfTrue="1" operator="equal">
      <formula>"Falla"</formula>
    </cfRule>
    <cfRule type="cellIs" dxfId="1231" priority="185" stopIfTrue="1" operator="equal">
      <formula>"N/A"</formula>
    </cfRule>
    <cfRule type="cellIs" dxfId="1230" priority="186" stopIfTrue="1" operator="equal">
      <formula>"N/T"</formula>
    </cfRule>
    <cfRule type="cellIs" dxfId="1229" priority="187" stopIfTrue="1" operator="equal">
      <formula>"N/D"</formula>
    </cfRule>
  </conditionalFormatting>
  <conditionalFormatting sqref="D325:D357">
    <cfRule type="cellIs" dxfId="1228" priority="181" stopIfTrue="1" operator="equal">
      <formula>"-"</formula>
    </cfRule>
  </conditionalFormatting>
  <conditionalFormatting sqref="E133:E167">
    <cfRule type="cellIs" dxfId="1227" priority="180" stopIfTrue="1" operator="equal">
      <formula>"ERR"</formula>
    </cfRule>
  </conditionalFormatting>
  <conditionalFormatting sqref="D135:D167">
    <cfRule type="expression" dxfId="1226" priority="168" stopIfTrue="1">
      <formula>ISBLANK(D135)</formula>
    </cfRule>
    <cfRule type="cellIs" dxfId="1225" priority="169" stopIfTrue="1" operator="equal">
      <formula>"Pasa"</formula>
    </cfRule>
    <cfRule type="cellIs" dxfId="1224" priority="170" stopIfTrue="1" operator="equal">
      <formula>"Falla"</formula>
    </cfRule>
    <cfRule type="cellIs" dxfId="1223" priority="171" stopIfTrue="1" operator="equal">
      <formula>"N/A"</formula>
    </cfRule>
    <cfRule type="cellIs" dxfId="1222" priority="172" stopIfTrue="1" operator="equal">
      <formula>"N/T"</formula>
    </cfRule>
    <cfRule type="cellIs" dxfId="1221" priority="173" stopIfTrue="1" operator="equal">
      <formula>"N/D"</formula>
    </cfRule>
  </conditionalFormatting>
  <conditionalFormatting sqref="D135:D167">
    <cfRule type="cellIs" dxfId="1220" priority="167" stopIfTrue="1" operator="equal">
      <formula>"-"</formula>
    </cfRule>
  </conditionalFormatting>
  <conditionalFormatting sqref="E171:E205">
    <cfRule type="cellIs" dxfId="1219" priority="166" stopIfTrue="1" operator="equal">
      <formula>"ERR"</formula>
    </cfRule>
  </conditionalFormatting>
  <conditionalFormatting sqref="D173:D205">
    <cfRule type="expression" dxfId="1218" priority="154" stopIfTrue="1">
      <formula>ISBLANK(D173)</formula>
    </cfRule>
    <cfRule type="cellIs" dxfId="1217" priority="155" stopIfTrue="1" operator="equal">
      <formula>"Pasa"</formula>
    </cfRule>
    <cfRule type="cellIs" dxfId="1216" priority="156" stopIfTrue="1" operator="equal">
      <formula>"Falla"</formula>
    </cfRule>
    <cfRule type="cellIs" dxfId="1215" priority="157" stopIfTrue="1" operator="equal">
      <formula>"N/A"</formula>
    </cfRule>
    <cfRule type="cellIs" dxfId="1214" priority="158" stopIfTrue="1" operator="equal">
      <formula>"N/T"</formula>
    </cfRule>
    <cfRule type="cellIs" dxfId="1213" priority="159" stopIfTrue="1" operator="equal">
      <formula>"N/D"</formula>
    </cfRule>
  </conditionalFormatting>
  <conditionalFormatting sqref="D173:D205">
    <cfRule type="cellIs" dxfId="1212" priority="153" stopIfTrue="1" operator="equal">
      <formula>"-"</formula>
    </cfRule>
  </conditionalFormatting>
  <conditionalFormatting sqref="K23">
    <cfRule type="expression" dxfId="1211" priority="147" stopIfTrue="1">
      <formula>ISBLANK(K23)</formula>
    </cfRule>
    <cfRule type="cellIs" dxfId="1210" priority="148" stopIfTrue="1" operator="equal">
      <formula>"Pasa"</formula>
    </cfRule>
    <cfRule type="cellIs" dxfId="1209" priority="149" stopIfTrue="1" operator="equal">
      <formula>"Falla"</formula>
    </cfRule>
    <cfRule type="cellIs" dxfId="1208" priority="150" stopIfTrue="1" operator="equal">
      <formula>"N/A"</formula>
    </cfRule>
    <cfRule type="cellIs" dxfId="1207" priority="151" stopIfTrue="1" operator="equal">
      <formula>"N/T"</formula>
    </cfRule>
    <cfRule type="cellIs" dxfId="1206" priority="152" stopIfTrue="1" operator="equal">
      <formula>"N/D"</formula>
    </cfRule>
  </conditionalFormatting>
  <conditionalFormatting sqref="K24">
    <cfRule type="expression" dxfId="1205" priority="141" stopIfTrue="1">
      <formula>ISBLANK(K24)</formula>
    </cfRule>
    <cfRule type="cellIs" dxfId="1204" priority="142" stopIfTrue="1" operator="equal">
      <formula>"Pasa"</formula>
    </cfRule>
    <cfRule type="cellIs" dxfId="1203" priority="143" stopIfTrue="1" operator="equal">
      <formula>"Falla"</formula>
    </cfRule>
    <cfRule type="cellIs" dxfId="1202" priority="144" stopIfTrue="1" operator="equal">
      <formula>"N/A"</formula>
    </cfRule>
    <cfRule type="cellIs" dxfId="1201" priority="145" stopIfTrue="1" operator="equal">
      <formula>"N/T"</formula>
    </cfRule>
    <cfRule type="cellIs" dxfId="1200" priority="146" stopIfTrue="1" operator="equal">
      <formula>"N/D"</formula>
    </cfRule>
  </conditionalFormatting>
  <conditionalFormatting sqref="D19">
    <cfRule type="expression" dxfId="1199" priority="135" stopIfTrue="1">
      <formula>ISBLANK(D19)</formula>
    </cfRule>
    <cfRule type="cellIs" dxfId="1198" priority="136" stopIfTrue="1" operator="equal">
      <formula>"Pasa"</formula>
    </cfRule>
    <cfRule type="cellIs" dxfId="1197" priority="137" stopIfTrue="1" operator="equal">
      <formula>"Falla"</formula>
    </cfRule>
    <cfRule type="cellIs" dxfId="1196" priority="138" stopIfTrue="1" operator="equal">
      <formula>"N/A"</formula>
    </cfRule>
    <cfRule type="cellIs" dxfId="1195" priority="139" stopIfTrue="1" operator="equal">
      <formula>"N/T"</formula>
    </cfRule>
    <cfRule type="cellIs" dxfId="1194" priority="140" stopIfTrue="1" operator="equal">
      <formula>"N/D"</formula>
    </cfRule>
  </conditionalFormatting>
  <conditionalFormatting sqref="D19">
    <cfRule type="cellIs" dxfId="1193" priority="134" stopIfTrue="1" operator="equal">
      <formula>"-"</formula>
    </cfRule>
  </conditionalFormatting>
  <conditionalFormatting sqref="D20">
    <cfRule type="expression" dxfId="1192" priority="128" stopIfTrue="1">
      <formula>ISBLANK(D20)</formula>
    </cfRule>
    <cfRule type="cellIs" dxfId="1191" priority="129" stopIfTrue="1" operator="equal">
      <formula>"Pasa"</formula>
    </cfRule>
    <cfRule type="cellIs" dxfId="1190" priority="130" stopIfTrue="1" operator="equal">
      <formula>"Falla"</formula>
    </cfRule>
    <cfRule type="cellIs" dxfId="1189" priority="131" stopIfTrue="1" operator="equal">
      <formula>"N/A"</formula>
    </cfRule>
    <cfRule type="cellIs" dxfId="1188" priority="132" stopIfTrue="1" operator="equal">
      <formula>"N/T"</formula>
    </cfRule>
    <cfRule type="cellIs" dxfId="1187" priority="133" stopIfTrue="1" operator="equal">
      <formula>"N/D"</formula>
    </cfRule>
  </conditionalFormatting>
  <conditionalFormatting sqref="D20">
    <cfRule type="cellIs" dxfId="1186" priority="127" stopIfTrue="1" operator="equal">
      <formula>"-"</formula>
    </cfRule>
  </conditionalFormatting>
  <conditionalFormatting sqref="D57">
    <cfRule type="expression" dxfId="1185" priority="121" stopIfTrue="1">
      <formula>ISBLANK(D57)</formula>
    </cfRule>
    <cfRule type="cellIs" dxfId="1184" priority="122" stopIfTrue="1" operator="equal">
      <formula>"Pasa"</formula>
    </cfRule>
    <cfRule type="cellIs" dxfId="1183" priority="123" stopIfTrue="1" operator="equal">
      <formula>"Falla"</formula>
    </cfRule>
    <cfRule type="cellIs" dxfId="1182" priority="124" stopIfTrue="1" operator="equal">
      <formula>"N/A"</formula>
    </cfRule>
    <cfRule type="cellIs" dxfId="1181" priority="125" stopIfTrue="1" operator="equal">
      <formula>"N/T"</formula>
    </cfRule>
    <cfRule type="cellIs" dxfId="1180" priority="126" stopIfTrue="1" operator="equal">
      <formula>"N/D"</formula>
    </cfRule>
  </conditionalFormatting>
  <conditionalFormatting sqref="D57">
    <cfRule type="cellIs" dxfId="1179" priority="120" stopIfTrue="1" operator="equal">
      <formula>"-"</formula>
    </cfRule>
  </conditionalFormatting>
  <conditionalFormatting sqref="D58">
    <cfRule type="expression" dxfId="1178" priority="114" stopIfTrue="1">
      <formula>ISBLANK(D58)</formula>
    </cfRule>
    <cfRule type="cellIs" dxfId="1177" priority="115" stopIfTrue="1" operator="equal">
      <formula>"Pasa"</formula>
    </cfRule>
    <cfRule type="cellIs" dxfId="1176" priority="116" stopIfTrue="1" operator="equal">
      <formula>"Falla"</formula>
    </cfRule>
    <cfRule type="cellIs" dxfId="1175" priority="117" stopIfTrue="1" operator="equal">
      <formula>"N/A"</formula>
    </cfRule>
    <cfRule type="cellIs" dxfId="1174" priority="118" stopIfTrue="1" operator="equal">
      <formula>"N/T"</formula>
    </cfRule>
    <cfRule type="cellIs" dxfId="1173" priority="119" stopIfTrue="1" operator="equal">
      <formula>"N/D"</formula>
    </cfRule>
  </conditionalFormatting>
  <conditionalFormatting sqref="D58">
    <cfRule type="cellIs" dxfId="1172" priority="113" stopIfTrue="1" operator="equal">
      <formula>"-"</formula>
    </cfRule>
  </conditionalFormatting>
  <conditionalFormatting sqref="D95">
    <cfRule type="expression" dxfId="1171" priority="107" stopIfTrue="1">
      <formula>ISBLANK(D95)</formula>
    </cfRule>
    <cfRule type="cellIs" dxfId="1170" priority="108" stopIfTrue="1" operator="equal">
      <formula>"Pasa"</formula>
    </cfRule>
    <cfRule type="cellIs" dxfId="1169" priority="109" stopIfTrue="1" operator="equal">
      <formula>"Falla"</formula>
    </cfRule>
    <cfRule type="cellIs" dxfId="1168" priority="110" stopIfTrue="1" operator="equal">
      <formula>"N/A"</formula>
    </cfRule>
    <cfRule type="cellIs" dxfId="1167" priority="111" stopIfTrue="1" operator="equal">
      <formula>"N/T"</formula>
    </cfRule>
    <cfRule type="cellIs" dxfId="1166" priority="112" stopIfTrue="1" operator="equal">
      <formula>"N/D"</formula>
    </cfRule>
  </conditionalFormatting>
  <conditionalFormatting sqref="D95">
    <cfRule type="cellIs" dxfId="1165" priority="106" stopIfTrue="1" operator="equal">
      <formula>"-"</formula>
    </cfRule>
  </conditionalFormatting>
  <conditionalFormatting sqref="D96">
    <cfRule type="expression" dxfId="1164" priority="100" stopIfTrue="1">
      <formula>ISBLANK(D96)</formula>
    </cfRule>
    <cfRule type="cellIs" dxfId="1163" priority="101" stopIfTrue="1" operator="equal">
      <formula>"Pasa"</formula>
    </cfRule>
    <cfRule type="cellIs" dxfId="1162" priority="102" stopIfTrue="1" operator="equal">
      <formula>"Falla"</formula>
    </cfRule>
    <cfRule type="cellIs" dxfId="1161" priority="103" stopIfTrue="1" operator="equal">
      <formula>"N/A"</formula>
    </cfRule>
    <cfRule type="cellIs" dxfId="1160" priority="104" stopIfTrue="1" operator="equal">
      <formula>"N/T"</formula>
    </cfRule>
    <cfRule type="cellIs" dxfId="1159" priority="105" stopIfTrue="1" operator="equal">
      <formula>"N/D"</formula>
    </cfRule>
  </conditionalFormatting>
  <conditionalFormatting sqref="D96">
    <cfRule type="cellIs" dxfId="1158" priority="99" stopIfTrue="1" operator="equal">
      <formula>"-"</formula>
    </cfRule>
  </conditionalFormatting>
  <conditionalFormatting sqref="D133">
    <cfRule type="expression" dxfId="1157" priority="86" stopIfTrue="1">
      <formula>ISBLANK(D133)</formula>
    </cfRule>
    <cfRule type="cellIs" dxfId="1156" priority="87" stopIfTrue="1" operator="equal">
      <formula>"Pasa"</formula>
    </cfRule>
    <cfRule type="cellIs" dxfId="1155" priority="88" stopIfTrue="1" operator="equal">
      <formula>"Falla"</formula>
    </cfRule>
    <cfRule type="cellIs" dxfId="1154" priority="89" stopIfTrue="1" operator="equal">
      <formula>"N/A"</formula>
    </cfRule>
    <cfRule type="cellIs" dxfId="1153" priority="90" stopIfTrue="1" operator="equal">
      <formula>"N/T"</formula>
    </cfRule>
    <cfRule type="cellIs" dxfId="1152" priority="91" stopIfTrue="1" operator="equal">
      <formula>"N/D"</formula>
    </cfRule>
  </conditionalFormatting>
  <conditionalFormatting sqref="D133">
    <cfRule type="cellIs" dxfId="1151" priority="85" stopIfTrue="1" operator="equal">
      <formula>"-"</formula>
    </cfRule>
  </conditionalFormatting>
  <conditionalFormatting sqref="D134">
    <cfRule type="expression" dxfId="1150" priority="79" stopIfTrue="1">
      <formula>ISBLANK(D134)</formula>
    </cfRule>
    <cfRule type="cellIs" dxfId="1149" priority="80" stopIfTrue="1" operator="equal">
      <formula>"Pasa"</formula>
    </cfRule>
    <cfRule type="cellIs" dxfId="1148" priority="81" stopIfTrue="1" operator="equal">
      <formula>"Falla"</formula>
    </cfRule>
    <cfRule type="cellIs" dxfId="1147" priority="82" stopIfTrue="1" operator="equal">
      <formula>"N/A"</formula>
    </cfRule>
    <cfRule type="cellIs" dxfId="1146" priority="83" stopIfTrue="1" operator="equal">
      <formula>"N/T"</formula>
    </cfRule>
    <cfRule type="cellIs" dxfId="1145" priority="84" stopIfTrue="1" operator="equal">
      <formula>"N/D"</formula>
    </cfRule>
  </conditionalFormatting>
  <conditionalFormatting sqref="D134">
    <cfRule type="cellIs" dxfId="1144" priority="78" stopIfTrue="1" operator="equal">
      <formula>"-"</formula>
    </cfRule>
  </conditionalFormatting>
  <conditionalFormatting sqref="D171">
    <cfRule type="expression" dxfId="1143" priority="72" stopIfTrue="1">
      <formula>ISBLANK(D171)</formula>
    </cfRule>
    <cfRule type="cellIs" dxfId="1142" priority="73" stopIfTrue="1" operator="equal">
      <formula>"Pasa"</formula>
    </cfRule>
    <cfRule type="cellIs" dxfId="1141" priority="74" stopIfTrue="1" operator="equal">
      <formula>"Falla"</formula>
    </cfRule>
    <cfRule type="cellIs" dxfId="1140" priority="75" stopIfTrue="1" operator="equal">
      <formula>"N/A"</formula>
    </cfRule>
    <cfRule type="cellIs" dxfId="1139" priority="76" stopIfTrue="1" operator="equal">
      <formula>"N/T"</formula>
    </cfRule>
    <cfRule type="cellIs" dxfId="1138" priority="77" stopIfTrue="1" operator="equal">
      <formula>"N/D"</formula>
    </cfRule>
  </conditionalFormatting>
  <conditionalFormatting sqref="D171">
    <cfRule type="cellIs" dxfId="1137" priority="71" stopIfTrue="1" operator="equal">
      <formula>"-"</formula>
    </cfRule>
  </conditionalFormatting>
  <conditionalFormatting sqref="D172">
    <cfRule type="expression" dxfId="1136" priority="65" stopIfTrue="1">
      <formula>ISBLANK(D172)</formula>
    </cfRule>
    <cfRule type="cellIs" dxfId="1135" priority="66" stopIfTrue="1" operator="equal">
      <formula>"Pasa"</formula>
    </cfRule>
    <cfRule type="cellIs" dxfId="1134" priority="67" stopIfTrue="1" operator="equal">
      <formula>"Falla"</formula>
    </cfRule>
    <cfRule type="cellIs" dxfId="1133" priority="68" stopIfTrue="1" operator="equal">
      <formula>"N/A"</formula>
    </cfRule>
    <cfRule type="cellIs" dxfId="1132" priority="69" stopIfTrue="1" operator="equal">
      <formula>"N/T"</formula>
    </cfRule>
    <cfRule type="cellIs" dxfId="1131" priority="70" stopIfTrue="1" operator="equal">
      <formula>"N/D"</formula>
    </cfRule>
  </conditionalFormatting>
  <conditionalFormatting sqref="D172">
    <cfRule type="cellIs" dxfId="1130" priority="64" stopIfTrue="1" operator="equal">
      <formula>"-"</formula>
    </cfRule>
  </conditionalFormatting>
  <conditionalFormatting sqref="D209">
    <cfRule type="expression" dxfId="1129" priority="58" stopIfTrue="1">
      <formula>ISBLANK(D209)</formula>
    </cfRule>
    <cfRule type="cellIs" dxfId="1128" priority="59" stopIfTrue="1" operator="equal">
      <formula>"Pasa"</formula>
    </cfRule>
    <cfRule type="cellIs" dxfId="1127" priority="60" stopIfTrue="1" operator="equal">
      <formula>"Falla"</formula>
    </cfRule>
    <cfRule type="cellIs" dxfId="1126" priority="61" stopIfTrue="1" operator="equal">
      <formula>"N/A"</formula>
    </cfRule>
    <cfRule type="cellIs" dxfId="1125" priority="62" stopIfTrue="1" operator="equal">
      <formula>"N/T"</formula>
    </cfRule>
    <cfRule type="cellIs" dxfId="1124" priority="63" stopIfTrue="1" operator="equal">
      <formula>"N/D"</formula>
    </cfRule>
  </conditionalFormatting>
  <conditionalFormatting sqref="D209">
    <cfRule type="cellIs" dxfId="1123" priority="57" stopIfTrue="1" operator="equal">
      <formula>"-"</formula>
    </cfRule>
  </conditionalFormatting>
  <conditionalFormatting sqref="D210">
    <cfRule type="expression" dxfId="1122" priority="51" stopIfTrue="1">
      <formula>ISBLANK(D210)</formula>
    </cfRule>
    <cfRule type="cellIs" dxfId="1121" priority="52" stopIfTrue="1" operator="equal">
      <formula>"Pasa"</formula>
    </cfRule>
    <cfRule type="cellIs" dxfId="1120" priority="53" stopIfTrue="1" operator="equal">
      <formula>"Falla"</formula>
    </cfRule>
    <cfRule type="cellIs" dxfId="1119" priority="54" stopIfTrue="1" operator="equal">
      <formula>"N/A"</formula>
    </cfRule>
    <cfRule type="cellIs" dxfId="1118" priority="55" stopIfTrue="1" operator="equal">
      <formula>"N/T"</formula>
    </cfRule>
    <cfRule type="cellIs" dxfId="1117" priority="56" stopIfTrue="1" operator="equal">
      <formula>"N/D"</formula>
    </cfRule>
  </conditionalFormatting>
  <conditionalFormatting sqref="D210">
    <cfRule type="cellIs" dxfId="1116" priority="50" stopIfTrue="1" operator="equal">
      <formula>"-"</formula>
    </cfRule>
  </conditionalFormatting>
  <conditionalFormatting sqref="D247">
    <cfRule type="expression" dxfId="1115" priority="44" stopIfTrue="1">
      <formula>ISBLANK(D247)</formula>
    </cfRule>
    <cfRule type="cellIs" dxfId="1114" priority="45" stopIfTrue="1" operator="equal">
      <formula>"Pasa"</formula>
    </cfRule>
    <cfRule type="cellIs" dxfId="1113" priority="46" stopIfTrue="1" operator="equal">
      <formula>"Falla"</formula>
    </cfRule>
    <cfRule type="cellIs" dxfId="1112" priority="47" stopIfTrue="1" operator="equal">
      <formula>"N/A"</formula>
    </cfRule>
    <cfRule type="cellIs" dxfId="1111" priority="48" stopIfTrue="1" operator="equal">
      <formula>"N/T"</formula>
    </cfRule>
    <cfRule type="cellIs" dxfId="1110" priority="49" stopIfTrue="1" operator="equal">
      <formula>"N/D"</formula>
    </cfRule>
  </conditionalFormatting>
  <conditionalFormatting sqref="D247">
    <cfRule type="cellIs" dxfId="1109" priority="43" stopIfTrue="1" operator="equal">
      <formula>"-"</formula>
    </cfRule>
  </conditionalFormatting>
  <conditionalFormatting sqref="D248">
    <cfRule type="expression" dxfId="1108" priority="37" stopIfTrue="1">
      <formula>ISBLANK(D248)</formula>
    </cfRule>
    <cfRule type="cellIs" dxfId="1107" priority="38" stopIfTrue="1" operator="equal">
      <formula>"Pasa"</formula>
    </cfRule>
    <cfRule type="cellIs" dxfId="1106" priority="39" stopIfTrue="1" operator="equal">
      <formula>"Falla"</formula>
    </cfRule>
    <cfRule type="cellIs" dxfId="1105" priority="40" stopIfTrue="1" operator="equal">
      <formula>"N/A"</formula>
    </cfRule>
    <cfRule type="cellIs" dxfId="1104" priority="41" stopIfTrue="1" operator="equal">
      <formula>"N/T"</formula>
    </cfRule>
    <cfRule type="cellIs" dxfId="1103" priority="42" stopIfTrue="1" operator="equal">
      <formula>"N/D"</formula>
    </cfRule>
  </conditionalFormatting>
  <conditionalFormatting sqref="D248">
    <cfRule type="cellIs" dxfId="1102" priority="36" stopIfTrue="1" operator="equal">
      <formula>"-"</formula>
    </cfRule>
  </conditionalFormatting>
  <conditionalFormatting sqref="D285">
    <cfRule type="expression" dxfId="1101" priority="23" stopIfTrue="1">
      <formula>ISBLANK(D285)</formula>
    </cfRule>
    <cfRule type="cellIs" dxfId="1100" priority="24" stopIfTrue="1" operator="equal">
      <formula>"Pasa"</formula>
    </cfRule>
    <cfRule type="cellIs" dxfId="1099" priority="25" stopIfTrue="1" operator="equal">
      <formula>"Falla"</formula>
    </cfRule>
    <cfRule type="cellIs" dxfId="1098" priority="26" stopIfTrue="1" operator="equal">
      <formula>"N/A"</formula>
    </cfRule>
    <cfRule type="cellIs" dxfId="1097" priority="27" stopIfTrue="1" operator="equal">
      <formula>"N/T"</formula>
    </cfRule>
    <cfRule type="cellIs" dxfId="1096" priority="28" stopIfTrue="1" operator="equal">
      <formula>"N/D"</formula>
    </cfRule>
  </conditionalFormatting>
  <conditionalFormatting sqref="D285">
    <cfRule type="cellIs" dxfId="1095" priority="22" stopIfTrue="1" operator="equal">
      <formula>"-"</formula>
    </cfRule>
  </conditionalFormatting>
  <conditionalFormatting sqref="D286">
    <cfRule type="expression" dxfId="1094" priority="16" stopIfTrue="1">
      <formula>ISBLANK(D286)</formula>
    </cfRule>
    <cfRule type="cellIs" dxfId="1093" priority="17" stopIfTrue="1" operator="equal">
      <formula>"Pasa"</formula>
    </cfRule>
    <cfRule type="cellIs" dxfId="1092" priority="18" stopIfTrue="1" operator="equal">
      <formula>"Falla"</formula>
    </cfRule>
    <cfRule type="cellIs" dxfId="1091" priority="19" stopIfTrue="1" operator="equal">
      <formula>"N/A"</formula>
    </cfRule>
    <cfRule type="cellIs" dxfId="1090" priority="20" stopIfTrue="1" operator="equal">
      <formula>"N/T"</formula>
    </cfRule>
    <cfRule type="cellIs" dxfId="1089" priority="21" stopIfTrue="1" operator="equal">
      <formula>"N/D"</formula>
    </cfRule>
  </conditionalFormatting>
  <conditionalFormatting sqref="D286">
    <cfRule type="cellIs" dxfId="1088" priority="15" stopIfTrue="1" operator="equal">
      <formula>"-"</formula>
    </cfRule>
  </conditionalFormatting>
  <conditionalFormatting sqref="D323">
    <cfRule type="expression" dxfId="1087" priority="9" stopIfTrue="1">
      <formula>ISBLANK(D323)</formula>
    </cfRule>
    <cfRule type="cellIs" dxfId="1086" priority="10" stopIfTrue="1" operator="equal">
      <formula>"Pasa"</formula>
    </cfRule>
    <cfRule type="cellIs" dxfId="1085" priority="11" stopIfTrue="1" operator="equal">
      <formula>"Falla"</formula>
    </cfRule>
    <cfRule type="cellIs" dxfId="1084" priority="12" stopIfTrue="1" operator="equal">
      <formula>"N/A"</formula>
    </cfRule>
    <cfRule type="cellIs" dxfId="1083" priority="13" stopIfTrue="1" operator="equal">
      <formula>"N/T"</formula>
    </cfRule>
    <cfRule type="cellIs" dxfId="1082" priority="14" stopIfTrue="1" operator="equal">
      <formula>"N/D"</formula>
    </cfRule>
  </conditionalFormatting>
  <conditionalFormatting sqref="D323">
    <cfRule type="cellIs" dxfId="1081" priority="8" stopIfTrue="1" operator="equal">
      <formula>"-"</formula>
    </cfRule>
  </conditionalFormatting>
  <conditionalFormatting sqref="D324">
    <cfRule type="expression" dxfId="1080" priority="2" stopIfTrue="1">
      <formula>ISBLANK(D324)</formula>
    </cfRule>
    <cfRule type="cellIs" dxfId="1079" priority="3" stopIfTrue="1" operator="equal">
      <formula>"Pasa"</formula>
    </cfRule>
    <cfRule type="cellIs" dxfId="1078" priority="4" stopIfTrue="1" operator="equal">
      <formula>"Falla"</formula>
    </cfRule>
    <cfRule type="cellIs" dxfId="1077" priority="5" stopIfTrue="1" operator="equal">
      <formula>"N/A"</formula>
    </cfRule>
    <cfRule type="cellIs" dxfId="1076" priority="6" stopIfTrue="1" operator="equal">
      <formula>"N/T"</formula>
    </cfRule>
    <cfRule type="cellIs" dxfId="1075" priority="7" stopIfTrue="1" operator="equal">
      <formula>"N/D"</formula>
    </cfRule>
  </conditionalFormatting>
  <conditionalFormatting sqref="D324">
    <cfRule type="cellIs" dxfId="1074"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879" zoomScale="80" zoomScaleNormal="80" workbookViewId="0">
      <selection activeCell="D1888" sqref="D1888:D1894"/>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7"/>
      <c r="C6" s="127"/>
      <c r="D6" s="127"/>
      <c r="E6" s="128"/>
      <c r="F6" s="127"/>
      <c r="G6" s="127"/>
      <c r="H6" s="127"/>
      <c r="I6" s="127"/>
      <c r="J6" s="127"/>
      <c r="K6" s="127"/>
      <c r="L6" s="127"/>
      <c r="M6" s="127"/>
      <c r="N6" s="18"/>
      <c r="O6" s="18"/>
    </row>
    <row r="7" spans="1:64" ht="12.65" customHeight="1">
      <c r="B7" s="18"/>
      <c r="C7" s="18"/>
      <c r="D7" s="18"/>
      <c r="E7" s="79"/>
      <c r="F7" s="18"/>
      <c r="G7" s="18"/>
      <c r="H7" s="18"/>
      <c r="I7" s="18"/>
      <c r="J7" s="18"/>
      <c r="K7" s="18"/>
      <c r="L7" s="18"/>
      <c r="M7" s="18"/>
      <c r="N7" s="18"/>
      <c r="O7" s="18"/>
    </row>
    <row r="8" spans="1:64" ht="18.899999999999999" customHeight="1">
      <c r="B8" s="82" t="s">
        <v>140</v>
      </c>
      <c r="C8" s="18"/>
      <c r="D8" s="79"/>
      <c r="E8" s="79"/>
      <c r="F8" s="18"/>
      <c r="G8" s="18"/>
      <c r="H8" s="18"/>
      <c r="I8" s="18"/>
      <c r="J8" s="18"/>
      <c r="K8" s="18"/>
      <c r="L8" s="18"/>
      <c r="M8" s="18"/>
      <c r="N8" s="18"/>
      <c r="O8" s="18"/>
    </row>
    <row r="9" spans="1:64" ht="30" customHeight="1">
      <c r="B9" s="235" t="s">
        <v>84</v>
      </c>
      <c r="C9" s="235"/>
      <c r="D9" s="235"/>
      <c r="E9" s="235"/>
      <c r="F9" s="235"/>
      <c r="G9" s="235"/>
      <c r="H9" s="235"/>
      <c r="I9" s="235"/>
      <c r="J9" s="235"/>
      <c r="K9" s="235"/>
      <c r="L9" s="235"/>
      <c r="M9" s="235"/>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33" t="s">
        <v>85</v>
      </c>
      <c r="C11" s="234"/>
      <c r="D11" s="26"/>
      <c r="E11" s="14"/>
      <c r="F11" s="195" t="s">
        <v>86</v>
      </c>
      <c r="G11" s="104" t="s">
        <v>87</v>
      </c>
      <c r="H11" s="196" t="s">
        <v>88</v>
      </c>
      <c r="I11" s="22"/>
      <c r="J11" s="195" t="s">
        <v>89</v>
      </c>
      <c r="K11" s="104" t="s">
        <v>87</v>
      </c>
      <c r="L11" s="196" t="s">
        <v>88</v>
      </c>
      <c r="M11" s="18"/>
      <c r="N11" s="18"/>
      <c r="O11" s="18"/>
      <c r="P11" s="18"/>
      <c r="Q11" s="18"/>
      <c r="R11" s="18"/>
      <c r="U11" s="18"/>
      <c r="V11" s="18"/>
      <c r="W11" s="18"/>
      <c r="X11" s="18"/>
      <c r="Y11" s="18"/>
    </row>
    <row r="12" spans="1:64" ht="12" customHeight="1">
      <c r="B12" s="107" t="s">
        <v>90</v>
      </c>
      <c r="C12" s="197">
        <f>COUNTIF($B$18:$B$3962,B12)</f>
        <v>50</v>
      </c>
      <c r="D12" s="26"/>
      <c r="E12" s="14"/>
      <c r="F12" s="198" t="s">
        <v>91</v>
      </c>
      <c r="G12" s="72">
        <f ca="1">J20+J58+J96+J134+J172+J210+J248+J286+J324+J362+J400+J438+J476+J514+J552+J590+J628+J666+J704+J742+J780+J818+J856+J894+J932+J970+J1008+J1046+J1084+J1122+J1160+J1198+J1236+J1274+J1312+J1350+J1388+J1426+J1464+J1502+J1540+J1578+J1616+J1654+J1692+J1730+J1768+J1806+J1844+J1882</f>
        <v>293</v>
      </c>
      <c r="H12" s="42">
        <f ca="1">IF(($G$15+$K$15)=0,0,G12/($G$15+$K$15))</f>
        <v>0.41857142857142859</v>
      </c>
      <c r="I12" s="26"/>
      <c r="J12" s="182" t="s">
        <v>92</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7"/>
      <c r="C13" s="197"/>
      <c r="D13" s="26"/>
      <c r="E13" s="14"/>
      <c r="F13" s="198" t="s">
        <v>93</v>
      </c>
      <c r="G13" s="72">
        <f ca="1">I20+I58+I96+I134+I172+I210+I248+I286+I324+I362+I400+I438+I476+I514+I552+I590+I628+I666+I704+I742+I780+I818+I856+I894+I932+I970+I1008+I1046+I1084+I1122+I1160+I1198+I1236+I1274+I1312+I1350+I1388+I1426+I1464+I1502+I1540+I1578+I1616+I1654+I1692+I1730+I1768+I1806+I1844+I1882</f>
        <v>113</v>
      </c>
      <c r="H13" s="42">
        <f ca="1">IF(($G$15+$K$15)=0,0,G13/($G$15+$K$15))</f>
        <v>0.16142857142857142</v>
      </c>
      <c r="I13" s="26"/>
      <c r="J13" s="182" t="s">
        <v>94</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199" t="s">
        <v>95</v>
      </c>
      <c r="C14" s="200">
        <f>C12+C13</f>
        <v>50</v>
      </c>
      <c r="D14" s="26"/>
      <c r="E14" s="14"/>
      <c r="F14" s="198" t="s">
        <v>96</v>
      </c>
      <c r="G14" s="72">
        <f ca="1">H20+H58+H96+H134+H172+H210+H248+H286+H324+H362+H400+H438+H476+H514+H552+H590+H628+H666+H704+H742+H780+H818+H856+H894+H932+H970+H1008+H1046+H1084+H1122+H1160+H1198+H1236+H1274+H1312+H1350+H1388+H1426+H1464+H1502+H1540+H1578+H1616+H1654+H1692+H1730+H1768+H1806+H1844+H1882</f>
        <v>294</v>
      </c>
      <c r="H14" s="42">
        <f ca="1">IF(($G$15+$K$15)=0,0,G14/($G$15+$K$15))</f>
        <v>0.42</v>
      </c>
      <c r="I14" s="26"/>
      <c r="J14" s="182" t="s">
        <v>97</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199" t="s">
        <v>95</v>
      </c>
      <c r="G15" s="202">
        <f ca="1">SUM(G12:G14)</f>
        <v>700</v>
      </c>
      <c r="H15" s="203">
        <f ca="1">SUM(H12:H14)</f>
        <v>1</v>
      </c>
      <c r="I15" s="26"/>
      <c r="J15" s="199" t="s">
        <v>95</v>
      </c>
      <c r="K15" s="202">
        <f ca="1">SUM(K12:K13)</f>
        <v>0</v>
      </c>
      <c r="L15" s="203">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2" t="s">
        <v>98</v>
      </c>
      <c r="B18" s="23" t="s">
        <v>90</v>
      </c>
      <c r="C18" s="24" t="s">
        <v>141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91</v>
      </c>
      <c r="E19" s="79" t="str">
        <f t="shared" ref="E19:E53" si="0">IF(D19&lt;&gt;"",IF(AND(B19&lt;&gt;"",C19&lt;&gt;""),"","ERR"),"")</f>
        <v/>
      </c>
      <c r="F19" s="86" t="s">
        <v>101</v>
      </c>
      <c r="G19" s="87" t="s">
        <v>102</v>
      </c>
      <c r="H19" s="88" t="s">
        <v>103</v>
      </c>
      <c r="I19" s="89" t="s">
        <v>93</v>
      </c>
      <c r="J19" s="90" t="s">
        <v>91</v>
      </c>
      <c r="K19" s="178"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Aviso legal</v>
      </c>
      <c r="C20" s="85" t="str" cm="1">
        <f t="array" ref="C20">IFERROR(INDEX('03.Muestra'!$F$8:$F$42,SMALL(IF("Página Web"='03.Muestra'!$D$8:$D$42,ROW('03.Muestra'!$F$8:$F$42)-MIN(ROW('03.Muestra'!$D$8:$D$42))+1,""),ROW()-18)),"")</f>
        <v>https://www.comunidad.madrid/transparencia/aviso-legal</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14</v>
      </c>
      <c r="K20" s="179">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Accesibilidad</v>
      </c>
      <c r="C21" s="85" t="str" cm="1">
        <f t="array" ref="C21">IFERROR(INDEX('03.Muestra'!$F$8:$F$42,SMALL(IF("Página Web"='03.Muestra'!$D$8:$D$42,ROW('03.Muestra'!$F$8:$F$42)-MIN(ROW('03.Muestra'!$D$8:$D$42))+1,""),ROW()-18)),"")</f>
        <v>https://www.comunidad.madrid/transparencia/declaracion-accesibilidad</v>
      </c>
      <c r="D21" s="99" t="s">
        <v>91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Tranparencia</v>
      </c>
      <c r="C22" s="85" t="str" cm="1">
        <f t="array" ref="C22">IFERROR(INDEX('03.Muestra'!$F$8:$F$42,SMALL(IF("Página Web"='03.Muestra'!$D$8:$D$42,ROW('03.Muestra'!$F$8:$F$42)-MIN(ROW('03.Muestra'!$D$8:$D$42))+1,""),ROW()-18)),"")</f>
        <v>https://www.comunidad.madrid/transparencia/que-es-transparencia</v>
      </c>
      <c r="D22" s="99" t="s">
        <v>91</v>
      </c>
      <c r="E22" s="79" t="str">
        <f t="shared" si="0"/>
        <v/>
      </c>
      <c r="F22" s="18"/>
      <c r="G22" s="18"/>
      <c r="H22" s="18"/>
      <c r="I22" s="18"/>
      <c r="K22" s="169"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Organización</v>
      </c>
      <c r="C23" s="85" t="str" cm="1">
        <f t="array" ref="C23">IFERROR(INDEX('03.Muestra'!$F$8:$F$42,SMALL(IF("Página Web"='03.Muestra'!$D$8:$D$42,ROW('03.Muestra'!$F$8:$F$42)-MIN(ROW('03.Muestra'!$D$8:$D$42))+1,""),ROW()-18)),"")</f>
        <v>https://www.comunidad.madrid/transparencia/organizacion-recursos/organizacion</v>
      </c>
      <c r="D23" s="99" t="s">
        <v>91</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Quejas</v>
      </c>
      <c r="C24" s="85" t="str" cm="1">
        <f t="array" ref="C24">IFERROR(INDEX('03.Muestra'!$F$8:$F$42,SMALL(IF("Página Web"='03.Muestra'!$D$8:$D$42,ROW('03.Muestra'!$F$8:$F$42)-MIN(ROW('03.Muestra'!$D$8:$D$42))+1,""),ROW()-18)),"")</f>
        <v>https://www.comunidad.madrid/transparencia/quejas-y-reclamaciones</v>
      </c>
      <c r="D24" s="99" t="s">
        <v>91</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Contratos</v>
      </c>
      <c r="C25" s="85" t="str" cm="1">
        <f t="array" ref="C25">IFERROR(INDEX('03.Muestra'!$F$8:$F$42,SMALL(IF("Página Web"='03.Muestra'!$D$8:$D$42,ROW('03.Muestra'!$F$8:$F$42)-MIN(ROW('03.Muestra'!$D$8:$D$42))+1,""),ROW()-18)),"")</f>
        <v>https://www.comunidad.madrid/transparencia/contratos</v>
      </c>
      <c r="D25" s="99" t="s">
        <v>91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v>
      </c>
      <c r="C26" s="85" t="str" cm="1">
        <f t="array" ref="C26">IFERROR(INDEX('03.Muestra'!$F$8:$F$42,SMALL(IF("Página Web"='03.Muestra'!$D$8:$D$42,ROW('03.Muestra'!$F$8:$F$42)-MIN(ROW('03.Muestra'!$D$8:$D$42))+1,""),ROW()-18)),"")</f>
        <v>https://www.comunidad.madrid/transparencia/normativa-planificacion/consulta-publica</v>
      </c>
      <c r="D26" s="99" t="s">
        <v>91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Proyecto</v>
      </c>
      <c r="C27" s="85" t="str" cm="1">
        <f t="array" ref="C27">IFERROR(INDEX('03.Muestra'!$F$8:$F$42,SMALL(IF("Página Web"='03.Muestra'!$D$8:$D$42,ROW('03.Muestra'!$F$8:$F$42)-MIN(ROW('03.Muestra'!$D$8:$D$42))+1,""),ROW()-18)),"")</f>
        <v>https://www.comunidad.madrid/transparencia/proyecto-orden-que-se-crea-comision-farmacia-y-productos-sanitarios-cm-y-se-establece-su-composicion</v>
      </c>
      <c r="D27" s="99" t="s">
        <v>91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Planes y Programas</v>
      </c>
      <c r="C28" s="85" t="str" cm="1">
        <f t="array" ref="C28">IFERROR(INDEX('03.Muestra'!$F$8:$F$42,SMALL(IF("Página Web"='03.Muestra'!$D$8:$D$42,ROW('03.Muestra'!$F$8:$F$42)-MIN(ROW('03.Muestra'!$D$8:$D$42))+1,""),ROW()-18)),"")</f>
        <v>https://www.comunidad.madrid/transparencia/normativa-planificacion/planes-programas</v>
      </c>
      <c r="D28" s="99" t="s">
        <v>91</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Estrategia</v>
      </c>
      <c r="C29" s="85" t="str" cm="1">
        <f t="array" ref="C29">IFERROR(INDEX('03.Muestra'!$F$8:$F$42,SMALL(IF("Página Web"='03.Muestra'!$D$8:$D$42,ROW('03.Muestra'!$F$8:$F$42)-MIN(ROW('03.Muestra'!$D$8:$D$42))+1,""),ROW()-18)),"")</f>
        <v>https://www.comunidad.madrid/transparencia/informacion-institucional/planes-programas/estrategia-seguridad-del-paciente-del-servicio-madrileno</v>
      </c>
      <c r="D29" s="99" t="s">
        <v>91</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Huella</v>
      </c>
      <c r="C30" s="85" t="str" cm="1">
        <f t="array" ref="C30">IFERROR(INDEX('03.Muestra'!$F$8:$F$42,SMALL(IF("Página Web"='03.Muestra'!$D$8:$D$42,ROW('03.Muestra'!$F$8:$F$42)-MIN(ROW('03.Muestra'!$D$8:$D$42))+1,""),ROW()-18)),"")</f>
        <v>https://www.comunidad.madrid/transparencia/normativa-planificacion/huella-normativa</v>
      </c>
      <c r="D30" s="99" t="s">
        <v>91</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Decreto</v>
      </c>
      <c r="C31" s="85" t="str" cm="1">
        <f t="array" ref="C31">IFERROR(INDEX('03.Muestra'!$F$8:$F$42,SMALL(IF("Página Web"='03.Muestra'!$D$8:$D$42,ROW('03.Muestra'!$F$8:$F$42)-MIN(ROW('03.Muestra'!$D$8:$D$42))+1,""),ROW()-18)),"")</f>
        <v>https://www.comunidad.madrid/transparencia/decreto-del-consejo-gobierno-que-se-establece-estructura-organica-consejeria-familia-juventud-y</v>
      </c>
      <c r="D31" s="99" t="s">
        <v>91</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Entidades Locales</v>
      </c>
      <c r="C32" s="85" t="str" cm="1">
        <f t="array" ref="C32">IFERROR(INDEX('03.Muestra'!$F$8:$F$42,SMALL(IF("Página Web"='03.Muestra'!$D$8:$D$42,ROW('03.Muestra'!$F$8:$F$42)-MIN(ROW('03.Muestra'!$D$8:$D$42))+1,""),ROW()-18)),"")</f>
        <v>https://www.comunidad.madrid/transparencia/entidades-locales</v>
      </c>
      <c r="D32" s="99" t="s">
        <v>91</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2" t="s">
        <v>98</v>
      </c>
      <c r="B56" s="23" t="s">
        <v>90</v>
      </c>
      <c r="C56" s="24" t="s">
        <v>142</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103</v>
      </c>
      <c r="E57" s="79" t="str">
        <f t="shared" ref="E57:E91" si="2">IF(D57&lt;&gt;"",IF(AND(B57&lt;&gt;"",C57&lt;&gt;""),"","ERR"),"")</f>
        <v/>
      </c>
      <c r="F57" s="86" t="s">
        <v>101</v>
      </c>
      <c r="G57" s="87" t="s">
        <v>102</v>
      </c>
      <c r="H57" s="88" t="s">
        <v>103</v>
      </c>
      <c r="I57" s="89" t="s">
        <v>93</v>
      </c>
      <c r="J57" s="90" t="s">
        <v>91</v>
      </c>
      <c r="K57" s="178"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Aviso legal</v>
      </c>
      <c r="C58" s="85" t="str" cm="1">
        <f t="array" ref="C58">IFERROR(INDEX('03.Muestra'!$F$8:$F$42,SMALL(IF("Página Web"='03.Muestra'!$D$8:$D$42,ROW('03.Muestra'!$F$8:$F$42)-MIN(ROW('03.Muestra'!$D$8:$D$42))+1,""),ROW()-56)),"")</f>
        <v>https://www.comunidad.madrid/transparencia/aviso-legal</v>
      </c>
      <c r="D58" s="99" t="s">
        <v>103</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79">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Accesibilidad</v>
      </c>
      <c r="C59" s="85" t="str" cm="1">
        <f t="array" ref="C59">IFERROR(INDEX('03.Muestra'!$F$8:$F$42,SMALL(IF("Página Web"='03.Muestra'!$D$8:$D$42,ROW('03.Muestra'!$F$8:$F$42)-MIN(ROW('03.Muestra'!$D$8:$D$42))+1,""),ROW()-56)),"")</f>
        <v>https://www.comunidad.madrid/transparencia/declaracion-accesibilidad</v>
      </c>
      <c r="D59" s="99" t="s">
        <v>103</v>
      </c>
      <c r="E59" s="79" t="str">
        <f t="shared" si="2"/>
        <v/>
      </c>
      <c r="G59" s="18"/>
      <c r="H59" s="18"/>
      <c r="I59" s="18"/>
      <c r="J59" s="18"/>
      <c r="K59" s="183"/>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Tranparencia</v>
      </c>
      <c r="C60" s="85" t="str" cm="1">
        <f t="array" ref="C60">IFERROR(INDEX('03.Muestra'!$F$8:$F$42,SMALL(IF("Página Web"='03.Muestra'!$D$8:$D$42,ROW('03.Muestra'!$F$8:$F$42)-MIN(ROW('03.Muestra'!$D$8:$D$42))+1,""),ROW()-56)),"")</f>
        <v>https://www.comunidad.madrid/transparencia/que-es-transparencia</v>
      </c>
      <c r="D60" s="99" t="s">
        <v>103</v>
      </c>
      <c r="E60" s="79" t="str">
        <f t="shared" si="2"/>
        <v/>
      </c>
      <c r="G60" s="18"/>
      <c r="H60" s="18"/>
      <c r="I60" s="18"/>
      <c r="J60" s="18"/>
      <c r="K60" s="183"/>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Organización</v>
      </c>
      <c r="C61" s="85" t="str" cm="1">
        <f t="array" ref="C61">IFERROR(INDEX('03.Muestra'!$F$8:$F$42,SMALL(IF("Página Web"='03.Muestra'!$D$8:$D$42,ROW('03.Muestra'!$F$8:$F$42)-MIN(ROW('03.Muestra'!$D$8:$D$42))+1,""),ROW()-56)),"")</f>
        <v>https://www.comunidad.madrid/transparencia/organizacion-recursos/organizacion</v>
      </c>
      <c r="D61" s="99" t="s">
        <v>103</v>
      </c>
      <c r="E61" s="79" t="str">
        <f t="shared" si="2"/>
        <v/>
      </c>
      <c r="G61" s="18"/>
      <c r="H61" s="18"/>
      <c r="I61" s="18"/>
      <c r="J61" s="18"/>
      <c r="K61" s="183"/>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Quejas</v>
      </c>
      <c r="C62" s="85" t="str" cm="1">
        <f t="array" ref="C62">IFERROR(INDEX('03.Muestra'!$F$8:$F$42,SMALL(IF("Página Web"='03.Muestra'!$D$8:$D$42,ROW('03.Muestra'!$F$8:$F$42)-MIN(ROW('03.Muestra'!$D$8:$D$42))+1,""),ROW()-56)),"")</f>
        <v>https://www.comunidad.madrid/transparencia/quejas-y-reclamaciones</v>
      </c>
      <c r="D62" s="99" t="s">
        <v>103</v>
      </c>
      <c r="E62" s="79" t="str">
        <f t="shared" si="2"/>
        <v/>
      </c>
      <c r="G62" s="18"/>
      <c r="H62" s="18"/>
      <c r="I62" s="18"/>
      <c r="J62" s="18"/>
      <c r="K62" s="183"/>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Contratos</v>
      </c>
      <c r="C63" s="85" t="str" cm="1">
        <f t="array" ref="C63">IFERROR(INDEX('03.Muestra'!$F$8:$F$42,SMALL(IF("Página Web"='03.Muestra'!$D$8:$D$42,ROW('03.Muestra'!$F$8:$F$42)-MIN(ROW('03.Muestra'!$D$8:$D$42))+1,""),ROW()-56)),"")</f>
        <v>https://www.comunidad.madrid/transparencia/contratos</v>
      </c>
      <c r="D63" s="99" t="s">
        <v>103</v>
      </c>
      <c r="E63" s="79" t="str">
        <f t="shared" si="2"/>
        <v/>
      </c>
      <c r="F63" s="18"/>
      <c r="G63" s="18"/>
      <c r="H63" s="18"/>
      <c r="I63" s="18"/>
      <c r="J63" s="18"/>
      <c r="K63" s="183"/>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v>
      </c>
      <c r="C64" s="85" t="str" cm="1">
        <f t="array" ref="C64">IFERROR(INDEX('03.Muestra'!$F$8:$F$42,SMALL(IF("Página Web"='03.Muestra'!$D$8:$D$42,ROW('03.Muestra'!$F$8:$F$42)-MIN(ROW('03.Muestra'!$D$8:$D$42))+1,""),ROW()-56)),"")</f>
        <v>https://www.comunidad.madrid/transparencia/normativa-planificacion/consulta-publica</v>
      </c>
      <c r="D64" s="99" t="s">
        <v>103</v>
      </c>
      <c r="E64" s="79" t="str">
        <f t="shared" si="2"/>
        <v/>
      </c>
      <c r="F64" s="18"/>
      <c r="G64" s="18"/>
      <c r="H64" s="18"/>
      <c r="I64" s="18"/>
      <c r="J64" s="18"/>
      <c r="K64" s="183"/>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Proyecto</v>
      </c>
      <c r="C65" s="85" t="str" cm="1">
        <f t="array" ref="C65">IFERROR(INDEX('03.Muestra'!$F$8:$F$42,SMALL(IF("Página Web"='03.Muestra'!$D$8:$D$42,ROW('03.Muestra'!$F$8:$F$42)-MIN(ROW('03.Muestra'!$D$8:$D$42))+1,""),ROW()-56)),"")</f>
        <v>https://www.comunidad.madrid/transparencia/proyecto-orden-que-se-crea-comision-farmacia-y-productos-sanitarios-cm-y-se-establece-su-composicion</v>
      </c>
      <c r="D65" s="99" t="s">
        <v>103</v>
      </c>
      <c r="E65" s="79" t="str">
        <f t="shared" si="2"/>
        <v/>
      </c>
      <c r="F65" s="18"/>
      <c r="G65" s="18"/>
      <c r="H65" s="18"/>
      <c r="I65" s="18"/>
      <c r="J65" s="18"/>
      <c r="K65" s="183"/>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Planes y Programas</v>
      </c>
      <c r="C66" s="85" t="str" cm="1">
        <f t="array" ref="C66">IFERROR(INDEX('03.Muestra'!$F$8:$F$42,SMALL(IF("Página Web"='03.Muestra'!$D$8:$D$42,ROW('03.Muestra'!$F$8:$F$42)-MIN(ROW('03.Muestra'!$D$8:$D$42))+1,""),ROW()-56)),"")</f>
        <v>https://www.comunidad.madrid/transparencia/normativa-planificacion/planes-programas</v>
      </c>
      <c r="D66" s="99" t="s">
        <v>103</v>
      </c>
      <c r="E66" s="79" t="str">
        <f t="shared" si="2"/>
        <v/>
      </c>
      <c r="F66" s="18"/>
      <c r="G66" s="18"/>
      <c r="H66" s="18"/>
      <c r="I66" s="18"/>
      <c r="J66" s="18"/>
      <c r="K66" s="183"/>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Estrategia</v>
      </c>
      <c r="C67" s="85" t="str" cm="1">
        <f t="array" ref="C67">IFERROR(INDEX('03.Muestra'!$F$8:$F$42,SMALL(IF("Página Web"='03.Muestra'!$D$8:$D$42,ROW('03.Muestra'!$F$8:$F$42)-MIN(ROW('03.Muestra'!$D$8:$D$42))+1,""),ROW()-56)),"")</f>
        <v>https://www.comunidad.madrid/transparencia/informacion-institucional/planes-programas/estrategia-seguridad-del-paciente-del-servicio-madrileno</v>
      </c>
      <c r="D67" s="99" t="s">
        <v>103</v>
      </c>
      <c r="E67" s="79" t="str">
        <f t="shared" si="2"/>
        <v/>
      </c>
      <c r="F67" s="18"/>
      <c r="G67" s="18"/>
      <c r="H67" s="18"/>
      <c r="I67" s="18"/>
      <c r="J67" s="18"/>
      <c r="K67" s="183"/>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Huella</v>
      </c>
      <c r="C68" s="85" t="str" cm="1">
        <f t="array" ref="C68">IFERROR(INDEX('03.Muestra'!$F$8:$F$42,SMALL(IF("Página Web"='03.Muestra'!$D$8:$D$42,ROW('03.Muestra'!$F$8:$F$42)-MIN(ROW('03.Muestra'!$D$8:$D$42))+1,""),ROW()-56)),"")</f>
        <v>https://www.comunidad.madrid/transparencia/normativa-planificacion/huella-normativa</v>
      </c>
      <c r="D68" s="99" t="s">
        <v>103</v>
      </c>
      <c r="E68" s="79" t="str">
        <f t="shared" si="2"/>
        <v/>
      </c>
      <c r="F68" s="18"/>
      <c r="G68" s="18"/>
      <c r="H68" s="18"/>
      <c r="I68" s="18"/>
      <c r="J68" s="18"/>
      <c r="K68" s="183"/>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Decreto</v>
      </c>
      <c r="C69" s="85" t="str" cm="1">
        <f t="array" ref="C69">IFERROR(INDEX('03.Muestra'!$F$8:$F$42,SMALL(IF("Página Web"='03.Muestra'!$D$8:$D$42,ROW('03.Muestra'!$F$8:$F$42)-MIN(ROW('03.Muestra'!$D$8:$D$42))+1,""),ROW()-56)),"")</f>
        <v>https://www.comunidad.madrid/transparencia/decreto-del-consejo-gobierno-que-se-establece-estructura-organica-consejeria-familia-juventud-y</v>
      </c>
      <c r="D69" s="99" t="s">
        <v>103</v>
      </c>
      <c r="E69" s="79" t="str">
        <f t="shared" si="2"/>
        <v/>
      </c>
      <c r="F69" s="18"/>
      <c r="G69" s="18"/>
      <c r="H69" s="18"/>
      <c r="I69" s="18"/>
      <c r="J69" s="18"/>
      <c r="K69" s="183"/>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Entidades Locales</v>
      </c>
      <c r="C70" s="85" t="str" cm="1">
        <f t="array" ref="C70">IFERROR(INDEX('03.Muestra'!$F$8:$F$42,SMALL(IF("Página Web"='03.Muestra'!$D$8:$D$42,ROW('03.Muestra'!$F$8:$F$42)-MIN(ROW('03.Muestra'!$D$8:$D$42))+1,""),ROW()-56)),"")</f>
        <v>https://www.comunidad.madrid/transparencia/entidades-locales</v>
      </c>
      <c r="D70" s="99" t="s">
        <v>103</v>
      </c>
      <c r="E70" s="79" t="str">
        <f t="shared" si="2"/>
        <v/>
      </c>
      <c r="F70" s="18"/>
      <c r="G70" s="18"/>
      <c r="H70" s="18"/>
      <c r="I70" s="18"/>
      <c r="J70" s="18"/>
      <c r="K70" s="183"/>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3"/>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3"/>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3"/>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3"/>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3"/>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3"/>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3"/>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3"/>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3"/>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3"/>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3"/>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3"/>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3"/>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3"/>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3"/>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3"/>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3"/>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3"/>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3"/>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3"/>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3"/>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3"/>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3"/>
      <c r="L93" s="18"/>
      <c r="M93" s="18"/>
      <c r="N93" s="18"/>
      <c r="O93" s="18"/>
      <c r="P93" s="18"/>
      <c r="Q93" s="18"/>
      <c r="R93" s="18"/>
      <c r="S93" s="18"/>
      <c r="T93" s="18"/>
      <c r="U93" s="18"/>
      <c r="V93" s="18"/>
      <c r="W93" s="18"/>
      <c r="X93" s="18"/>
      <c r="Y93" s="18"/>
    </row>
    <row r="94" spans="1:25" ht="29.25" customHeight="1">
      <c r="A94" s="172" t="s">
        <v>98</v>
      </c>
      <c r="B94" s="23" t="s">
        <v>90</v>
      </c>
      <c r="C94" s="24" t="s">
        <v>143</v>
      </c>
      <c r="D94" s="25" t="s">
        <v>100</v>
      </c>
      <c r="E94" s="93"/>
      <c r="K94" s="183"/>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103</v>
      </c>
      <c r="E95" s="79" t="str">
        <f t="shared" ref="E95:E129" si="4">IF(D95&lt;&gt;"",IF(AND(B95&lt;&gt;"",C95&lt;&gt;""),"","ERR"),"")</f>
        <v/>
      </c>
      <c r="F95" s="86" t="s">
        <v>101</v>
      </c>
      <c r="G95" s="87" t="s">
        <v>102</v>
      </c>
      <c r="H95" s="88" t="s">
        <v>103</v>
      </c>
      <c r="I95" s="89" t="s">
        <v>93</v>
      </c>
      <c r="J95" s="90" t="s">
        <v>91</v>
      </c>
      <c r="K95" s="178"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Aviso legal</v>
      </c>
      <c r="C96" s="85" t="str" cm="1">
        <f t="array" ref="C96">IFERROR(INDEX('03.Muestra'!$F$8:$F$42,SMALL(IF("Página Web"='03.Muestra'!$D$8:$D$42,ROW('03.Muestra'!$F$8:$F$42)-MIN(ROW('03.Muestra'!$D$8:$D$42))+1,""),ROW()-94)),"")</f>
        <v>https://www.comunidad.madrid/transparencia/aviso-legal</v>
      </c>
      <c r="D96" s="99" t="s">
        <v>103</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79">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Accesibilidad</v>
      </c>
      <c r="C97" s="85" t="str" cm="1">
        <f t="array" ref="C97">IFERROR(INDEX('03.Muestra'!$F$8:$F$42,SMALL(IF("Página Web"='03.Muestra'!$D$8:$D$42,ROW('03.Muestra'!$F$8:$F$42)-MIN(ROW('03.Muestra'!$D$8:$D$42))+1,""),ROW()-94)),"")</f>
        <v>https://www.comunidad.madrid/transparencia/declaracion-accesibilidad</v>
      </c>
      <c r="D97" s="99" t="s">
        <v>103</v>
      </c>
      <c r="E97" s="79" t="str">
        <f t="shared" si="4"/>
        <v/>
      </c>
      <c r="G97" s="18"/>
      <c r="H97" s="18"/>
      <c r="I97" s="18"/>
      <c r="J97" s="18"/>
      <c r="K97" s="183"/>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Tranparencia</v>
      </c>
      <c r="C98" s="85" t="str" cm="1">
        <f t="array" ref="C98">IFERROR(INDEX('03.Muestra'!$F$8:$F$42,SMALL(IF("Página Web"='03.Muestra'!$D$8:$D$42,ROW('03.Muestra'!$F$8:$F$42)-MIN(ROW('03.Muestra'!$D$8:$D$42))+1,""),ROW()-94)),"")</f>
        <v>https://www.comunidad.madrid/transparencia/que-es-transparencia</v>
      </c>
      <c r="D98" s="99" t="s">
        <v>103</v>
      </c>
      <c r="E98" s="79" t="str">
        <f t="shared" si="4"/>
        <v/>
      </c>
      <c r="G98" s="18"/>
      <c r="H98" s="18"/>
      <c r="I98" s="18"/>
      <c r="J98" s="18"/>
      <c r="K98" s="183"/>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Organización</v>
      </c>
      <c r="C99" s="85" t="str" cm="1">
        <f t="array" ref="C99">IFERROR(INDEX('03.Muestra'!$F$8:$F$42,SMALL(IF("Página Web"='03.Muestra'!$D$8:$D$42,ROW('03.Muestra'!$F$8:$F$42)-MIN(ROW('03.Muestra'!$D$8:$D$42))+1,""),ROW()-94)),"")</f>
        <v>https://www.comunidad.madrid/transparencia/organizacion-recursos/organizacion</v>
      </c>
      <c r="D99" s="99" t="s">
        <v>103</v>
      </c>
      <c r="E99" s="79" t="str">
        <f t="shared" si="4"/>
        <v/>
      </c>
      <c r="G99" s="18"/>
      <c r="H99" s="18"/>
      <c r="I99" s="18"/>
      <c r="J99" s="18"/>
      <c r="K99" s="183"/>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Quejas</v>
      </c>
      <c r="C100" s="85" t="str" cm="1">
        <f t="array" ref="C100">IFERROR(INDEX('03.Muestra'!$F$8:$F$42,SMALL(IF("Página Web"='03.Muestra'!$D$8:$D$42,ROW('03.Muestra'!$F$8:$F$42)-MIN(ROW('03.Muestra'!$D$8:$D$42))+1,""),ROW()-94)),"")</f>
        <v>https://www.comunidad.madrid/transparencia/quejas-y-reclamaciones</v>
      </c>
      <c r="D100" s="99" t="s">
        <v>103</v>
      </c>
      <c r="E100" s="79" t="str">
        <f t="shared" si="4"/>
        <v/>
      </c>
      <c r="G100" s="18"/>
      <c r="H100" s="18"/>
      <c r="I100" s="18"/>
      <c r="J100" s="18"/>
      <c r="K100" s="183"/>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Contratos</v>
      </c>
      <c r="C101" s="85" t="str" cm="1">
        <f t="array" ref="C101">IFERROR(INDEX('03.Muestra'!$F$8:$F$42,SMALL(IF("Página Web"='03.Muestra'!$D$8:$D$42,ROW('03.Muestra'!$F$8:$F$42)-MIN(ROW('03.Muestra'!$D$8:$D$42))+1,""),ROW()-94)),"")</f>
        <v>https://www.comunidad.madrid/transparencia/contratos</v>
      </c>
      <c r="D101" s="99" t="s">
        <v>103</v>
      </c>
      <c r="E101" s="79" t="str">
        <f t="shared" si="4"/>
        <v/>
      </c>
      <c r="F101" s="18"/>
      <c r="G101" s="18"/>
      <c r="H101" s="18"/>
      <c r="I101" s="18"/>
      <c r="J101" s="18"/>
      <c r="K101" s="183"/>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v>
      </c>
      <c r="C102" s="85" t="str" cm="1">
        <f t="array" ref="C102">IFERROR(INDEX('03.Muestra'!$F$8:$F$42,SMALL(IF("Página Web"='03.Muestra'!$D$8:$D$42,ROW('03.Muestra'!$F$8:$F$42)-MIN(ROW('03.Muestra'!$D$8:$D$42))+1,""),ROW()-94)),"")</f>
        <v>https://www.comunidad.madrid/transparencia/normativa-planificacion/consulta-publica</v>
      </c>
      <c r="D102" s="99" t="s">
        <v>103</v>
      </c>
      <c r="E102" s="79" t="str">
        <f t="shared" si="4"/>
        <v/>
      </c>
      <c r="F102" s="18"/>
      <c r="G102" s="18"/>
      <c r="H102" s="18"/>
      <c r="I102" s="18"/>
      <c r="J102" s="18"/>
      <c r="K102" s="183"/>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Proyecto</v>
      </c>
      <c r="C103" s="85" t="str" cm="1">
        <f t="array" ref="C103">IFERROR(INDEX('03.Muestra'!$F$8:$F$42,SMALL(IF("Página Web"='03.Muestra'!$D$8:$D$42,ROW('03.Muestra'!$F$8:$F$42)-MIN(ROW('03.Muestra'!$D$8:$D$42))+1,""),ROW()-94)),"")</f>
        <v>https://www.comunidad.madrid/transparencia/proyecto-orden-que-se-crea-comision-farmacia-y-productos-sanitarios-cm-y-se-establece-su-composicion</v>
      </c>
      <c r="D103" s="99" t="s">
        <v>103</v>
      </c>
      <c r="E103" s="79" t="str">
        <f t="shared" si="4"/>
        <v/>
      </c>
      <c r="F103" s="18"/>
      <c r="G103" s="18"/>
      <c r="H103" s="18"/>
      <c r="I103" s="18"/>
      <c r="J103" s="18"/>
      <c r="K103" s="183"/>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Planes y Programas</v>
      </c>
      <c r="C104" s="85" t="str" cm="1">
        <f t="array" ref="C104">IFERROR(INDEX('03.Muestra'!$F$8:$F$42,SMALL(IF("Página Web"='03.Muestra'!$D$8:$D$42,ROW('03.Muestra'!$F$8:$F$42)-MIN(ROW('03.Muestra'!$D$8:$D$42))+1,""),ROW()-94)),"")</f>
        <v>https://www.comunidad.madrid/transparencia/normativa-planificacion/planes-programas</v>
      </c>
      <c r="D104" s="99" t="s">
        <v>103</v>
      </c>
      <c r="E104" s="79" t="str">
        <f t="shared" si="4"/>
        <v/>
      </c>
      <c r="F104" s="18"/>
      <c r="G104" s="18"/>
      <c r="H104" s="18"/>
      <c r="I104" s="18"/>
      <c r="J104" s="18"/>
      <c r="K104" s="183"/>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Estrategia</v>
      </c>
      <c r="C105" s="85" t="str" cm="1">
        <f t="array" ref="C105">IFERROR(INDEX('03.Muestra'!$F$8:$F$42,SMALL(IF("Página Web"='03.Muestra'!$D$8:$D$42,ROW('03.Muestra'!$F$8:$F$42)-MIN(ROW('03.Muestra'!$D$8:$D$42))+1,""),ROW()-94)),"")</f>
        <v>https://www.comunidad.madrid/transparencia/informacion-institucional/planes-programas/estrategia-seguridad-del-paciente-del-servicio-madrileno</v>
      </c>
      <c r="D105" s="99" t="s">
        <v>103</v>
      </c>
      <c r="E105" s="79" t="str">
        <f t="shared" si="4"/>
        <v/>
      </c>
      <c r="F105" s="18"/>
      <c r="G105" s="18"/>
      <c r="H105" s="18"/>
      <c r="I105" s="18"/>
      <c r="J105" s="18"/>
      <c r="K105" s="183"/>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Huella</v>
      </c>
      <c r="C106" s="85" t="str" cm="1">
        <f t="array" ref="C106">IFERROR(INDEX('03.Muestra'!$F$8:$F$42,SMALL(IF("Página Web"='03.Muestra'!$D$8:$D$42,ROW('03.Muestra'!$F$8:$F$42)-MIN(ROW('03.Muestra'!$D$8:$D$42))+1,""),ROW()-94)),"")</f>
        <v>https://www.comunidad.madrid/transparencia/normativa-planificacion/huella-normativa</v>
      </c>
      <c r="D106" s="99" t="s">
        <v>103</v>
      </c>
      <c r="E106" s="79" t="str">
        <f t="shared" si="4"/>
        <v/>
      </c>
      <c r="F106" s="18"/>
      <c r="G106" s="18"/>
      <c r="H106" s="18"/>
      <c r="I106" s="18"/>
      <c r="J106" s="18"/>
      <c r="K106" s="183"/>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Decreto</v>
      </c>
      <c r="C107" s="85" t="str" cm="1">
        <f t="array" ref="C107">IFERROR(INDEX('03.Muestra'!$F$8:$F$42,SMALL(IF("Página Web"='03.Muestra'!$D$8:$D$42,ROW('03.Muestra'!$F$8:$F$42)-MIN(ROW('03.Muestra'!$D$8:$D$42))+1,""),ROW()-94)),"")</f>
        <v>https://www.comunidad.madrid/transparencia/decreto-del-consejo-gobierno-que-se-establece-estructura-organica-consejeria-familia-juventud-y</v>
      </c>
      <c r="D107" s="99" t="s">
        <v>103</v>
      </c>
      <c r="E107" s="79" t="str">
        <f t="shared" si="4"/>
        <v/>
      </c>
      <c r="F107" s="18"/>
      <c r="G107" s="18"/>
      <c r="H107" s="18"/>
      <c r="I107" s="18"/>
      <c r="J107" s="18"/>
      <c r="K107" s="183"/>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Entidades Locales</v>
      </c>
      <c r="C108" s="85" t="str" cm="1">
        <f t="array" ref="C108">IFERROR(INDEX('03.Muestra'!$F$8:$F$42,SMALL(IF("Página Web"='03.Muestra'!$D$8:$D$42,ROW('03.Muestra'!$F$8:$F$42)-MIN(ROW('03.Muestra'!$D$8:$D$42))+1,""),ROW()-94)),"")</f>
        <v>https://www.comunidad.madrid/transparencia/entidades-locales</v>
      </c>
      <c r="D108" s="99" t="s">
        <v>103</v>
      </c>
      <c r="E108" s="79" t="str">
        <f t="shared" si="4"/>
        <v/>
      </c>
      <c r="F108" s="18"/>
      <c r="G108" s="18"/>
      <c r="H108" s="18"/>
      <c r="I108" s="18"/>
      <c r="J108" s="18"/>
      <c r="K108" s="183"/>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c r="E109" s="79" t="str">
        <f t="shared" si="4"/>
        <v/>
      </c>
      <c r="F109" s="18"/>
      <c r="G109" s="18"/>
      <c r="H109" s="18"/>
      <c r="I109" s="18"/>
      <c r="J109" s="18"/>
      <c r="K109" s="183"/>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ref="D110:D129" si="5">IF(AND(B110&lt;&gt;"",C110&lt;&gt;""),"N/T","")</f>
        <v/>
      </c>
      <c r="E110" s="79" t="str">
        <f t="shared" si="4"/>
        <v/>
      </c>
      <c r="F110" s="18"/>
      <c r="G110" s="18"/>
      <c r="H110" s="18"/>
      <c r="I110" s="18"/>
      <c r="J110" s="18"/>
      <c r="K110" s="183"/>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3"/>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3"/>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3"/>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3"/>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3"/>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3"/>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3"/>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3"/>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3"/>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3"/>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3"/>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3"/>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3"/>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3"/>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3"/>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3"/>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3"/>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3"/>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3"/>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3"/>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3"/>
      <c r="L131" s="18"/>
      <c r="M131" s="18"/>
      <c r="N131" s="18"/>
      <c r="O131" s="18"/>
      <c r="P131" s="18"/>
      <c r="Q131" s="18"/>
      <c r="R131" s="18"/>
      <c r="S131" s="18"/>
      <c r="T131" s="18"/>
      <c r="U131" s="18"/>
      <c r="V131" s="18"/>
      <c r="W131" s="18"/>
      <c r="X131" s="18"/>
      <c r="Y131" s="18"/>
    </row>
    <row r="132" spans="1:25" ht="29.25" customHeight="1">
      <c r="A132" s="172" t="s">
        <v>98</v>
      </c>
      <c r="B132" s="23" t="s">
        <v>90</v>
      </c>
      <c r="C132" s="24" t="s">
        <v>144</v>
      </c>
      <c r="D132" s="25" t="s">
        <v>100</v>
      </c>
      <c r="E132" s="93"/>
      <c r="K132" s="183"/>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103</v>
      </c>
      <c r="E133" s="79" t="str">
        <f t="shared" ref="E133:E167" si="6">IF(D133&lt;&gt;"",IF(AND(B133&lt;&gt;"",C133&lt;&gt;""),"","ERR"),"")</f>
        <v/>
      </c>
      <c r="F133" s="86" t="s">
        <v>101</v>
      </c>
      <c r="G133" s="87" t="s">
        <v>102</v>
      </c>
      <c r="H133" s="88" t="s">
        <v>103</v>
      </c>
      <c r="I133" s="89" t="s">
        <v>93</v>
      </c>
      <c r="J133" s="90" t="s">
        <v>91</v>
      </c>
      <c r="K133" s="178"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Aviso legal</v>
      </c>
      <c r="C134" s="85" t="str" cm="1">
        <f t="array" ref="C134">IFERROR(INDEX('03.Muestra'!$F$8:$F$42,SMALL(IF("Página Web"='03.Muestra'!$D$8:$D$42,ROW('03.Muestra'!$F$8:$F$42)-MIN(ROW('03.Muestra'!$D$8:$D$42))+1,""),ROW()-132)),"")</f>
        <v>https://www.comunidad.madrid/transparencia/aviso-legal</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79">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Accesibilidad</v>
      </c>
      <c r="C135" s="85" t="str" cm="1">
        <f t="array" ref="C135">IFERROR(INDEX('03.Muestra'!$F$8:$F$42,SMALL(IF("Página Web"='03.Muestra'!$D$8:$D$42,ROW('03.Muestra'!$F$8:$F$42)-MIN(ROW('03.Muestra'!$D$8:$D$42))+1,""),ROW()-132)),"")</f>
        <v>https://www.comunidad.madrid/transparencia/declaracion-accesibilidad</v>
      </c>
      <c r="D135" s="99" t="s">
        <v>103</v>
      </c>
      <c r="E135" s="79" t="str">
        <f t="shared" si="6"/>
        <v/>
      </c>
      <c r="G135" s="18"/>
      <c r="H135" s="18"/>
      <c r="I135" s="18"/>
      <c r="J135" s="18"/>
      <c r="K135" s="183"/>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Tranparencia</v>
      </c>
      <c r="C136" s="85" t="str" cm="1">
        <f t="array" ref="C136">IFERROR(INDEX('03.Muestra'!$F$8:$F$42,SMALL(IF("Página Web"='03.Muestra'!$D$8:$D$42,ROW('03.Muestra'!$F$8:$F$42)-MIN(ROW('03.Muestra'!$D$8:$D$42))+1,""),ROW()-132)),"")</f>
        <v>https://www.comunidad.madrid/transparencia/que-es-transparencia</v>
      </c>
      <c r="D136" s="99" t="s">
        <v>103</v>
      </c>
      <c r="E136" s="79" t="str">
        <f t="shared" si="6"/>
        <v/>
      </c>
      <c r="G136" s="18"/>
      <c r="H136" s="18"/>
      <c r="I136" s="18"/>
      <c r="J136" s="18"/>
      <c r="K136" s="183"/>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Organización</v>
      </c>
      <c r="C137" s="85" t="str" cm="1">
        <f t="array" ref="C137">IFERROR(INDEX('03.Muestra'!$F$8:$F$42,SMALL(IF("Página Web"='03.Muestra'!$D$8:$D$42,ROW('03.Muestra'!$F$8:$F$42)-MIN(ROW('03.Muestra'!$D$8:$D$42))+1,""),ROW()-132)),"")</f>
        <v>https://www.comunidad.madrid/transparencia/organizacion-recursos/organizacion</v>
      </c>
      <c r="D137" s="99" t="s">
        <v>103</v>
      </c>
      <c r="E137" s="79" t="str">
        <f t="shared" si="6"/>
        <v/>
      </c>
      <c r="G137" s="18"/>
      <c r="H137" s="18"/>
      <c r="I137" s="18"/>
      <c r="J137" s="18"/>
      <c r="K137" s="183"/>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Quejas</v>
      </c>
      <c r="C138" s="85" t="str" cm="1">
        <f t="array" ref="C138">IFERROR(INDEX('03.Muestra'!$F$8:$F$42,SMALL(IF("Página Web"='03.Muestra'!$D$8:$D$42,ROW('03.Muestra'!$F$8:$F$42)-MIN(ROW('03.Muestra'!$D$8:$D$42))+1,""),ROW()-132)),"")</f>
        <v>https://www.comunidad.madrid/transparencia/quejas-y-reclamaciones</v>
      </c>
      <c r="D138" s="99" t="s">
        <v>103</v>
      </c>
      <c r="E138" s="79" t="str">
        <f t="shared" si="6"/>
        <v/>
      </c>
      <c r="G138" s="18"/>
      <c r="H138" s="18"/>
      <c r="I138" s="18"/>
      <c r="J138" s="18"/>
      <c r="K138" s="183"/>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Contratos</v>
      </c>
      <c r="C139" s="85" t="str" cm="1">
        <f t="array" ref="C139">IFERROR(INDEX('03.Muestra'!$F$8:$F$42,SMALL(IF("Página Web"='03.Muestra'!$D$8:$D$42,ROW('03.Muestra'!$F$8:$F$42)-MIN(ROW('03.Muestra'!$D$8:$D$42))+1,""),ROW()-132)),"")</f>
        <v>https://www.comunidad.madrid/transparencia/contratos</v>
      </c>
      <c r="D139" s="99" t="s">
        <v>103</v>
      </c>
      <c r="E139" s="79" t="str">
        <f t="shared" si="6"/>
        <v/>
      </c>
      <c r="F139" s="18"/>
      <c r="G139" s="18"/>
      <c r="H139" s="18"/>
      <c r="I139" s="18"/>
      <c r="J139" s="18"/>
      <c r="K139" s="183"/>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v>
      </c>
      <c r="C140" s="85" t="str" cm="1">
        <f t="array" ref="C140">IFERROR(INDEX('03.Muestra'!$F$8:$F$42,SMALL(IF("Página Web"='03.Muestra'!$D$8:$D$42,ROW('03.Muestra'!$F$8:$F$42)-MIN(ROW('03.Muestra'!$D$8:$D$42))+1,""),ROW()-132)),"")</f>
        <v>https://www.comunidad.madrid/transparencia/normativa-planificacion/consulta-publica</v>
      </c>
      <c r="D140" s="99" t="s">
        <v>103</v>
      </c>
      <c r="E140" s="79" t="str">
        <f t="shared" si="6"/>
        <v/>
      </c>
      <c r="F140" s="18"/>
      <c r="G140" s="18"/>
      <c r="H140" s="18"/>
      <c r="I140" s="18"/>
      <c r="J140" s="18"/>
      <c r="K140" s="183"/>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Proyecto</v>
      </c>
      <c r="C141" s="85" t="str" cm="1">
        <f t="array" ref="C141">IFERROR(INDEX('03.Muestra'!$F$8:$F$42,SMALL(IF("Página Web"='03.Muestra'!$D$8:$D$42,ROW('03.Muestra'!$F$8:$F$42)-MIN(ROW('03.Muestra'!$D$8:$D$42))+1,""),ROW()-132)),"")</f>
        <v>https://www.comunidad.madrid/transparencia/proyecto-orden-que-se-crea-comision-farmacia-y-productos-sanitarios-cm-y-se-establece-su-composicion</v>
      </c>
      <c r="D141" s="99" t="s">
        <v>103</v>
      </c>
      <c r="E141" s="79" t="str">
        <f t="shared" si="6"/>
        <v/>
      </c>
      <c r="F141" s="18"/>
      <c r="G141" s="18"/>
      <c r="H141" s="18"/>
      <c r="I141" s="18"/>
      <c r="J141" s="18"/>
      <c r="K141" s="183"/>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Planes y Programas</v>
      </c>
      <c r="C142" s="85" t="str" cm="1">
        <f t="array" ref="C142">IFERROR(INDEX('03.Muestra'!$F$8:$F$42,SMALL(IF("Página Web"='03.Muestra'!$D$8:$D$42,ROW('03.Muestra'!$F$8:$F$42)-MIN(ROW('03.Muestra'!$D$8:$D$42))+1,""),ROW()-132)),"")</f>
        <v>https://www.comunidad.madrid/transparencia/normativa-planificacion/planes-programas</v>
      </c>
      <c r="D142" s="99" t="s">
        <v>103</v>
      </c>
      <c r="E142" s="79" t="str">
        <f t="shared" si="6"/>
        <v/>
      </c>
      <c r="F142" s="18"/>
      <c r="G142" s="18"/>
      <c r="H142" s="18"/>
      <c r="I142" s="18"/>
      <c r="J142" s="18"/>
      <c r="K142" s="183"/>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Estrategia</v>
      </c>
      <c r="C143" s="85" t="str" cm="1">
        <f t="array" ref="C143">IFERROR(INDEX('03.Muestra'!$F$8:$F$42,SMALL(IF("Página Web"='03.Muestra'!$D$8:$D$42,ROW('03.Muestra'!$F$8:$F$42)-MIN(ROW('03.Muestra'!$D$8:$D$42))+1,""),ROW()-132)),"")</f>
        <v>https://www.comunidad.madrid/transparencia/informacion-institucional/planes-programas/estrategia-seguridad-del-paciente-del-servicio-madrileno</v>
      </c>
      <c r="D143" s="99" t="s">
        <v>103</v>
      </c>
      <c r="E143" s="79" t="str">
        <f t="shared" si="6"/>
        <v/>
      </c>
      <c r="F143" s="18"/>
      <c r="G143" s="18"/>
      <c r="H143" s="18"/>
      <c r="I143" s="18"/>
      <c r="J143" s="18"/>
      <c r="K143" s="183"/>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Huella</v>
      </c>
      <c r="C144" s="85" t="str" cm="1">
        <f t="array" ref="C144">IFERROR(INDEX('03.Muestra'!$F$8:$F$42,SMALL(IF("Página Web"='03.Muestra'!$D$8:$D$42,ROW('03.Muestra'!$F$8:$F$42)-MIN(ROW('03.Muestra'!$D$8:$D$42))+1,""),ROW()-132)),"")</f>
        <v>https://www.comunidad.madrid/transparencia/normativa-planificacion/huella-normativa</v>
      </c>
      <c r="D144" s="99" t="s">
        <v>103</v>
      </c>
      <c r="E144" s="79" t="str">
        <f t="shared" si="6"/>
        <v/>
      </c>
      <c r="F144" s="18"/>
      <c r="G144" s="18"/>
      <c r="H144" s="18"/>
      <c r="I144" s="18"/>
      <c r="J144" s="18"/>
      <c r="K144" s="183"/>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Decreto</v>
      </c>
      <c r="C145" s="85" t="str" cm="1">
        <f t="array" ref="C145">IFERROR(INDEX('03.Muestra'!$F$8:$F$42,SMALL(IF("Página Web"='03.Muestra'!$D$8:$D$42,ROW('03.Muestra'!$F$8:$F$42)-MIN(ROW('03.Muestra'!$D$8:$D$42))+1,""),ROW()-132)),"")</f>
        <v>https://www.comunidad.madrid/transparencia/decreto-del-consejo-gobierno-que-se-establece-estructura-organica-consejeria-familia-juventud-y</v>
      </c>
      <c r="D145" s="99" t="s">
        <v>103</v>
      </c>
      <c r="E145" s="79" t="str">
        <f t="shared" si="6"/>
        <v/>
      </c>
      <c r="F145" s="18"/>
      <c r="G145" s="18"/>
      <c r="H145" s="18"/>
      <c r="I145" s="18"/>
      <c r="J145" s="18"/>
      <c r="K145" s="183"/>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Entidades Locales</v>
      </c>
      <c r="C146" s="85" t="str" cm="1">
        <f t="array" ref="C146">IFERROR(INDEX('03.Muestra'!$F$8:$F$42,SMALL(IF("Página Web"='03.Muestra'!$D$8:$D$42,ROW('03.Muestra'!$F$8:$F$42)-MIN(ROW('03.Muestra'!$D$8:$D$42))+1,""),ROW()-132)),"")</f>
        <v>https://www.comunidad.madrid/transparencia/entidades-locales</v>
      </c>
      <c r="D146" s="99" t="s">
        <v>103</v>
      </c>
      <c r="E146" s="79" t="str">
        <f t="shared" si="6"/>
        <v/>
      </c>
      <c r="F146" s="18"/>
      <c r="G146" s="18"/>
      <c r="H146" s="18"/>
      <c r="I146" s="18"/>
      <c r="J146" s="18"/>
      <c r="K146" s="183"/>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3"/>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3"/>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3"/>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3"/>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3"/>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3"/>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3"/>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3"/>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3"/>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3"/>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3"/>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3"/>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3"/>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3"/>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3"/>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3"/>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3"/>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3"/>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3"/>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3"/>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3"/>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3"/>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3"/>
      <c r="L169" s="18"/>
      <c r="M169" s="18"/>
      <c r="N169" s="18"/>
      <c r="O169" s="18"/>
      <c r="P169" s="18"/>
      <c r="Q169" s="18"/>
      <c r="R169" s="18"/>
      <c r="S169" s="18"/>
      <c r="T169" s="18"/>
      <c r="U169" s="18"/>
      <c r="V169" s="18"/>
      <c r="W169" s="18"/>
      <c r="X169" s="18"/>
      <c r="Y169" s="18"/>
    </row>
    <row r="170" spans="1:25" ht="29.25" customHeight="1">
      <c r="A170" s="172" t="s">
        <v>98</v>
      </c>
      <c r="B170" s="23" t="s">
        <v>90</v>
      </c>
      <c r="C170" s="24" t="s">
        <v>145</v>
      </c>
      <c r="D170" s="25" t="s">
        <v>100</v>
      </c>
      <c r="E170" s="93"/>
      <c r="K170" s="183"/>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103</v>
      </c>
      <c r="E171" s="79" t="str">
        <f t="shared" ref="E171:E205" si="8">IF(D171&lt;&gt;"",IF(AND(B171&lt;&gt;"",C171&lt;&gt;""),"","ERR"),"")</f>
        <v/>
      </c>
      <c r="F171" s="86" t="s">
        <v>101</v>
      </c>
      <c r="G171" s="87" t="s">
        <v>102</v>
      </c>
      <c r="H171" s="88" t="s">
        <v>103</v>
      </c>
      <c r="I171" s="89" t="s">
        <v>93</v>
      </c>
      <c r="J171" s="90" t="s">
        <v>91</v>
      </c>
      <c r="K171" s="178"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Aviso legal</v>
      </c>
      <c r="C172" s="85" t="str" cm="1">
        <f t="array" ref="C172">IFERROR(INDEX('03.Muestra'!$F$8:$F$42,SMALL(IF("Página Web"='03.Muestra'!$D$8:$D$42,ROW('03.Muestra'!$F$8:$F$42)-MIN(ROW('03.Muestra'!$D$8:$D$42))+1,""),ROW()-170)),"")</f>
        <v>https://www.comunidad.madrid/transparencia/aviso-legal</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79">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Accesibilidad</v>
      </c>
      <c r="C173" s="85" t="str" cm="1">
        <f t="array" ref="C173">IFERROR(INDEX('03.Muestra'!$F$8:$F$42,SMALL(IF("Página Web"='03.Muestra'!$D$8:$D$42,ROW('03.Muestra'!$F$8:$F$42)-MIN(ROW('03.Muestra'!$D$8:$D$42))+1,""),ROW()-170)),"")</f>
        <v>https://www.comunidad.madrid/transparencia/declaracion-accesibilidad</v>
      </c>
      <c r="D173" s="99" t="s">
        <v>103</v>
      </c>
      <c r="E173" s="79" t="str">
        <f t="shared" si="8"/>
        <v/>
      </c>
      <c r="K173" s="183"/>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Tranparencia</v>
      </c>
      <c r="C174" s="85" t="str" cm="1">
        <f t="array" ref="C174">IFERROR(INDEX('03.Muestra'!$F$8:$F$42,SMALL(IF("Página Web"='03.Muestra'!$D$8:$D$42,ROW('03.Muestra'!$F$8:$F$42)-MIN(ROW('03.Muestra'!$D$8:$D$42))+1,""),ROW()-170)),"")</f>
        <v>https://www.comunidad.madrid/transparencia/que-es-transparencia</v>
      </c>
      <c r="D174" s="99" t="s">
        <v>103</v>
      </c>
      <c r="E174" s="79" t="str">
        <f t="shared" si="8"/>
        <v/>
      </c>
      <c r="G174" s="18"/>
      <c r="H174" s="18"/>
      <c r="I174" s="18"/>
      <c r="J174" s="18"/>
      <c r="K174" s="183"/>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Organización</v>
      </c>
      <c r="C175" s="85" t="str" cm="1">
        <f t="array" ref="C175">IFERROR(INDEX('03.Muestra'!$F$8:$F$42,SMALL(IF("Página Web"='03.Muestra'!$D$8:$D$42,ROW('03.Muestra'!$F$8:$F$42)-MIN(ROW('03.Muestra'!$D$8:$D$42))+1,""),ROW()-170)),"")</f>
        <v>https://www.comunidad.madrid/transparencia/organizacion-recursos/organizacion</v>
      </c>
      <c r="D175" s="99" t="s">
        <v>103</v>
      </c>
      <c r="E175" s="79" t="str">
        <f t="shared" si="8"/>
        <v/>
      </c>
      <c r="G175" s="18"/>
      <c r="H175" s="18"/>
      <c r="I175" s="18"/>
      <c r="J175" s="18"/>
      <c r="K175" s="183"/>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Quejas</v>
      </c>
      <c r="C176" s="85" t="str" cm="1">
        <f t="array" ref="C176">IFERROR(INDEX('03.Muestra'!$F$8:$F$42,SMALL(IF("Página Web"='03.Muestra'!$D$8:$D$42,ROW('03.Muestra'!$F$8:$F$42)-MIN(ROW('03.Muestra'!$D$8:$D$42))+1,""),ROW()-170)),"")</f>
        <v>https://www.comunidad.madrid/transparencia/quejas-y-reclamaciones</v>
      </c>
      <c r="D176" s="99" t="s">
        <v>103</v>
      </c>
      <c r="E176" s="79" t="str">
        <f t="shared" si="8"/>
        <v/>
      </c>
      <c r="G176" s="18"/>
      <c r="H176" s="18"/>
      <c r="I176" s="18"/>
      <c r="J176" s="18"/>
      <c r="K176" s="183"/>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Contratos</v>
      </c>
      <c r="C177" s="85" t="str" cm="1">
        <f t="array" ref="C177">IFERROR(INDEX('03.Muestra'!$F$8:$F$42,SMALL(IF("Página Web"='03.Muestra'!$D$8:$D$42,ROW('03.Muestra'!$F$8:$F$42)-MIN(ROW('03.Muestra'!$D$8:$D$42))+1,""),ROW()-170)),"")</f>
        <v>https://www.comunidad.madrid/transparencia/contratos</v>
      </c>
      <c r="D177" s="99" t="s">
        <v>103</v>
      </c>
      <c r="E177" s="79" t="str">
        <f t="shared" si="8"/>
        <v/>
      </c>
      <c r="F177" s="18"/>
      <c r="G177" s="18"/>
      <c r="H177" s="18"/>
      <c r="I177" s="18"/>
      <c r="J177" s="18"/>
      <c r="K177" s="183"/>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v>
      </c>
      <c r="C178" s="85" t="str" cm="1">
        <f t="array" ref="C178">IFERROR(INDEX('03.Muestra'!$F$8:$F$42,SMALL(IF("Página Web"='03.Muestra'!$D$8:$D$42,ROW('03.Muestra'!$F$8:$F$42)-MIN(ROW('03.Muestra'!$D$8:$D$42))+1,""),ROW()-170)),"")</f>
        <v>https://www.comunidad.madrid/transparencia/normativa-planificacion/consulta-publica</v>
      </c>
      <c r="D178" s="99" t="s">
        <v>103</v>
      </c>
      <c r="E178" s="79" t="str">
        <f t="shared" si="8"/>
        <v/>
      </c>
      <c r="F178" s="18"/>
      <c r="G178" s="18"/>
      <c r="H178" s="18"/>
      <c r="I178" s="18"/>
      <c r="J178" s="18"/>
      <c r="K178" s="183"/>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Proyecto</v>
      </c>
      <c r="C179" s="85" t="str" cm="1">
        <f t="array" ref="C179">IFERROR(INDEX('03.Muestra'!$F$8:$F$42,SMALL(IF("Página Web"='03.Muestra'!$D$8:$D$42,ROW('03.Muestra'!$F$8:$F$42)-MIN(ROW('03.Muestra'!$D$8:$D$42))+1,""),ROW()-170)),"")</f>
        <v>https://www.comunidad.madrid/transparencia/proyecto-orden-que-se-crea-comision-farmacia-y-productos-sanitarios-cm-y-se-establece-su-composicion</v>
      </c>
      <c r="D179" s="99" t="s">
        <v>103</v>
      </c>
      <c r="E179" s="79" t="str">
        <f t="shared" si="8"/>
        <v/>
      </c>
      <c r="F179" s="18"/>
      <c r="G179" s="18"/>
      <c r="H179" s="18"/>
      <c r="I179" s="18"/>
      <c r="J179" s="18"/>
      <c r="K179" s="183"/>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Planes y Programas</v>
      </c>
      <c r="C180" s="85" t="str" cm="1">
        <f t="array" ref="C180">IFERROR(INDEX('03.Muestra'!$F$8:$F$42,SMALL(IF("Página Web"='03.Muestra'!$D$8:$D$42,ROW('03.Muestra'!$F$8:$F$42)-MIN(ROW('03.Muestra'!$D$8:$D$42))+1,""),ROW()-170)),"")</f>
        <v>https://www.comunidad.madrid/transparencia/normativa-planificacion/planes-programas</v>
      </c>
      <c r="D180" s="99" t="s">
        <v>103</v>
      </c>
      <c r="E180" s="79" t="str">
        <f t="shared" si="8"/>
        <v/>
      </c>
      <c r="F180" s="18"/>
      <c r="G180" s="18"/>
      <c r="H180" s="18"/>
      <c r="I180" s="18"/>
      <c r="J180" s="18"/>
      <c r="K180" s="183"/>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Estrategia</v>
      </c>
      <c r="C181" s="85" t="str" cm="1">
        <f t="array" ref="C181">IFERROR(INDEX('03.Muestra'!$F$8:$F$42,SMALL(IF("Página Web"='03.Muestra'!$D$8:$D$42,ROW('03.Muestra'!$F$8:$F$42)-MIN(ROW('03.Muestra'!$D$8:$D$42))+1,""),ROW()-170)),"")</f>
        <v>https://www.comunidad.madrid/transparencia/informacion-institucional/planes-programas/estrategia-seguridad-del-paciente-del-servicio-madrileno</v>
      </c>
      <c r="D181" s="99" t="s">
        <v>103</v>
      </c>
      <c r="E181" s="79" t="str">
        <f t="shared" si="8"/>
        <v/>
      </c>
      <c r="F181" s="18"/>
      <c r="G181" s="18"/>
      <c r="H181" s="18"/>
      <c r="I181" s="18"/>
      <c r="J181" s="18"/>
      <c r="K181" s="183"/>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Huella</v>
      </c>
      <c r="C182" s="85" t="str" cm="1">
        <f t="array" ref="C182">IFERROR(INDEX('03.Muestra'!$F$8:$F$42,SMALL(IF("Página Web"='03.Muestra'!$D$8:$D$42,ROW('03.Muestra'!$F$8:$F$42)-MIN(ROW('03.Muestra'!$D$8:$D$42))+1,""),ROW()-170)),"")</f>
        <v>https://www.comunidad.madrid/transparencia/normativa-planificacion/huella-normativa</v>
      </c>
      <c r="D182" s="99" t="s">
        <v>103</v>
      </c>
      <c r="E182" s="79" t="str">
        <f t="shared" si="8"/>
        <v/>
      </c>
      <c r="F182" s="18"/>
      <c r="G182" s="18"/>
      <c r="H182" s="18"/>
      <c r="I182" s="18"/>
      <c r="J182" s="18"/>
      <c r="K182" s="183"/>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Decreto</v>
      </c>
      <c r="C183" s="85" t="str" cm="1">
        <f t="array" ref="C183">IFERROR(INDEX('03.Muestra'!$F$8:$F$42,SMALL(IF("Página Web"='03.Muestra'!$D$8:$D$42,ROW('03.Muestra'!$F$8:$F$42)-MIN(ROW('03.Muestra'!$D$8:$D$42))+1,""),ROW()-170)),"")</f>
        <v>https://www.comunidad.madrid/transparencia/decreto-del-consejo-gobierno-que-se-establece-estructura-organica-consejeria-familia-juventud-y</v>
      </c>
      <c r="D183" s="99" t="s">
        <v>103</v>
      </c>
      <c r="E183" s="79" t="str">
        <f t="shared" si="8"/>
        <v/>
      </c>
      <c r="F183" s="18"/>
      <c r="G183" s="18"/>
      <c r="H183" s="18"/>
      <c r="I183" s="18"/>
      <c r="J183" s="18"/>
      <c r="K183" s="183"/>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Entidades Locales</v>
      </c>
      <c r="C184" s="85" t="str" cm="1">
        <f t="array" ref="C184">IFERROR(INDEX('03.Muestra'!$F$8:$F$42,SMALL(IF("Página Web"='03.Muestra'!$D$8:$D$42,ROW('03.Muestra'!$F$8:$F$42)-MIN(ROW('03.Muestra'!$D$8:$D$42))+1,""),ROW()-170)),"")</f>
        <v>https://www.comunidad.madrid/transparencia/entidades-locales</v>
      </c>
      <c r="D184" s="99" t="s">
        <v>103</v>
      </c>
      <c r="E184" s="79" t="str">
        <f t="shared" si="8"/>
        <v/>
      </c>
      <c r="F184" s="18"/>
      <c r="G184" s="18"/>
      <c r="H184" s="18"/>
      <c r="I184" s="18"/>
      <c r="J184" s="18"/>
      <c r="K184" s="183"/>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3"/>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3"/>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3"/>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3"/>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3"/>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3"/>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3"/>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3"/>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3"/>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3"/>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3"/>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3"/>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3"/>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3"/>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3"/>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3"/>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3"/>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3"/>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3"/>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3"/>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3"/>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3"/>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3"/>
      <c r="L207" s="18"/>
      <c r="M207" s="18"/>
      <c r="N207" s="18"/>
      <c r="O207" s="18"/>
      <c r="P207" s="18"/>
      <c r="Q207" s="18"/>
      <c r="R207" s="18"/>
      <c r="S207" s="18"/>
      <c r="T207" s="18"/>
      <c r="U207" s="18"/>
      <c r="V207" s="18"/>
      <c r="W207" s="18"/>
      <c r="X207" s="18"/>
      <c r="Y207" s="18"/>
    </row>
    <row r="208" spans="1:25" ht="29.25" customHeight="1">
      <c r="A208" s="172" t="s">
        <v>98</v>
      </c>
      <c r="B208" s="23" t="s">
        <v>90</v>
      </c>
      <c r="C208" s="24" t="s">
        <v>146</v>
      </c>
      <c r="D208" s="25" t="s">
        <v>100</v>
      </c>
      <c r="E208" s="93"/>
      <c r="K208" s="183"/>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https://www.comunidad.madrid/transparencia/</v>
      </c>
      <c r="D209" s="99" t="s">
        <v>93</v>
      </c>
      <c r="E209" s="79" t="str">
        <f t="shared" ref="E209:E243" si="10">IF(D209&lt;&gt;"",IF(AND(B209&lt;&gt;"",C209&lt;&gt;""),"","ERR"),"")</f>
        <v/>
      </c>
      <c r="F209" s="86" t="s">
        <v>101</v>
      </c>
      <c r="G209" s="87" t="s">
        <v>102</v>
      </c>
      <c r="H209" s="88" t="s">
        <v>103</v>
      </c>
      <c r="I209" s="89" t="s">
        <v>93</v>
      </c>
      <c r="J209" s="90" t="s">
        <v>91</v>
      </c>
      <c r="K209" s="178"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Aviso legal</v>
      </c>
      <c r="C210" s="85" t="str" cm="1">
        <f t="array" ref="C210">IFERROR(INDEX('03.Muestra'!$F$8:$F$42,SMALL(IF("Página Web"='03.Muestra'!$D$8:$D$42,ROW('03.Muestra'!$F$8:$F$42)-MIN(ROW('03.Muestra'!$D$8:$D$42))+1,""),ROW()-208)),"")</f>
        <v>https://www.comunidad.madrid/transparencia/aviso-legal</v>
      </c>
      <c r="D210" s="99" t="s">
        <v>91</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3</v>
      </c>
      <c r="J210" s="91">
        <f ca="1">COUNTIF($D209:INDIRECT("$D" &amp;  SUM(ROW()-1,'03.Muestra'!$D$45)-1),J209)</f>
        <v>11</v>
      </c>
      <c r="K210" s="179">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Accesibilidad</v>
      </c>
      <c r="C211" s="85" t="str" cm="1">
        <f t="array" ref="C211">IFERROR(INDEX('03.Muestra'!$F$8:$F$42,SMALL(IF("Página Web"='03.Muestra'!$D$8:$D$42,ROW('03.Muestra'!$F$8:$F$42)-MIN(ROW('03.Muestra'!$D$8:$D$42))+1,""),ROW()-208)),"")</f>
        <v>https://www.comunidad.madrid/transparencia/declaracion-accesibilidad</v>
      </c>
      <c r="D211" s="99" t="s">
        <v>93</v>
      </c>
      <c r="E211" s="79" t="str">
        <f t="shared" si="10"/>
        <v/>
      </c>
      <c r="G211" s="18"/>
      <c r="H211" s="18"/>
      <c r="I211" s="18"/>
      <c r="J211" s="18"/>
      <c r="K211" s="183"/>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Tranparencia</v>
      </c>
      <c r="C212" s="85" t="str" cm="1">
        <f t="array" ref="C212">IFERROR(INDEX('03.Muestra'!$F$8:$F$42,SMALL(IF("Página Web"='03.Muestra'!$D$8:$D$42,ROW('03.Muestra'!$F$8:$F$42)-MIN(ROW('03.Muestra'!$D$8:$D$42))+1,""),ROW()-208)),"")</f>
        <v>https://www.comunidad.madrid/transparencia/que-es-transparencia</v>
      </c>
      <c r="D212" s="99" t="s">
        <v>91</v>
      </c>
      <c r="E212" s="79" t="str">
        <f t="shared" si="10"/>
        <v/>
      </c>
      <c r="G212" s="18"/>
      <c r="H212" s="18"/>
      <c r="I212" s="18"/>
      <c r="J212" s="18"/>
      <c r="K212" s="183"/>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Organización</v>
      </c>
      <c r="C213" s="85" t="str" cm="1">
        <f t="array" ref="C213">IFERROR(INDEX('03.Muestra'!$F$8:$F$42,SMALL(IF("Página Web"='03.Muestra'!$D$8:$D$42,ROW('03.Muestra'!$F$8:$F$42)-MIN(ROW('03.Muestra'!$D$8:$D$42))+1,""),ROW()-208)),"")</f>
        <v>https://www.comunidad.madrid/transparencia/organizacion-recursos/organizacion</v>
      </c>
      <c r="D213" s="99" t="s">
        <v>93</v>
      </c>
      <c r="E213" s="79" t="str">
        <f t="shared" si="10"/>
        <v/>
      </c>
      <c r="G213" s="18"/>
      <c r="H213" s="18"/>
      <c r="I213" s="18"/>
      <c r="J213" s="18"/>
      <c r="K213" s="183"/>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Quejas</v>
      </c>
      <c r="C214" s="85" t="str" cm="1">
        <f t="array" ref="C214">IFERROR(INDEX('03.Muestra'!$F$8:$F$42,SMALL(IF("Página Web"='03.Muestra'!$D$8:$D$42,ROW('03.Muestra'!$F$8:$F$42)-MIN(ROW('03.Muestra'!$D$8:$D$42))+1,""),ROW()-208)),"")</f>
        <v>https://www.comunidad.madrid/transparencia/quejas-y-reclamaciones</v>
      </c>
      <c r="D214" s="99" t="s">
        <v>91</v>
      </c>
      <c r="E214" s="79" t="str">
        <f t="shared" si="10"/>
        <v/>
      </c>
      <c r="G214" s="18"/>
      <c r="H214" s="18"/>
      <c r="I214" s="18"/>
      <c r="J214" s="18"/>
      <c r="K214" s="183"/>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Contratos</v>
      </c>
      <c r="C215" s="85" t="str" cm="1">
        <f t="array" ref="C215">IFERROR(INDEX('03.Muestra'!$F$8:$F$42,SMALL(IF("Página Web"='03.Muestra'!$D$8:$D$42,ROW('03.Muestra'!$F$8:$F$42)-MIN(ROW('03.Muestra'!$D$8:$D$42))+1,""),ROW()-208)),"")</f>
        <v>https://www.comunidad.madrid/transparencia/contratos</v>
      </c>
      <c r="D215" s="99" t="s">
        <v>91</v>
      </c>
      <c r="E215" s="79" t="str">
        <f t="shared" si="10"/>
        <v/>
      </c>
      <c r="F215" s="18"/>
      <c r="G215" s="18"/>
      <c r="H215" s="18"/>
      <c r="I215" s="18"/>
      <c r="J215" s="18"/>
      <c r="K215" s="183"/>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Consulta</v>
      </c>
      <c r="C216" s="85" t="str" cm="1">
        <f t="array" ref="C216">IFERROR(INDEX('03.Muestra'!$F$8:$F$42,SMALL(IF("Página Web"='03.Muestra'!$D$8:$D$42,ROW('03.Muestra'!$F$8:$F$42)-MIN(ROW('03.Muestra'!$D$8:$D$42))+1,""),ROW()-208)),"")</f>
        <v>https://www.comunidad.madrid/transparencia/normativa-planificacion/consulta-publica</v>
      </c>
      <c r="D216" s="99" t="s">
        <v>91</v>
      </c>
      <c r="E216" s="79" t="str">
        <f t="shared" si="10"/>
        <v/>
      </c>
      <c r="F216" s="18"/>
      <c r="G216" s="18"/>
      <c r="H216" s="18"/>
      <c r="I216" s="18"/>
      <c r="J216" s="18"/>
      <c r="K216" s="183"/>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Proyecto</v>
      </c>
      <c r="C217" s="85" t="str" cm="1">
        <f t="array" ref="C217">IFERROR(INDEX('03.Muestra'!$F$8:$F$42,SMALL(IF("Página Web"='03.Muestra'!$D$8:$D$42,ROW('03.Muestra'!$F$8:$F$42)-MIN(ROW('03.Muestra'!$D$8:$D$42))+1,""),ROW()-208)),"")</f>
        <v>https://www.comunidad.madrid/transparencia/proyecto-orden-que-se-crea-comision-farmacia-y-productos-sanitarios-cm-y-se-establece-su-composicion</v>
      </c>
      <c r="D217" s="99" t="s">
        <v>91</v>
      </c>
      <c r="E217" s="79" t="str">
        <f t="shared" si="10"/>
        <v/>
      </c>
      <c r="F217" s="18"/>
      <c r="G217" s="18"/>
      <c r="H217" s="18"/>
      <c r="I217" s="18"/>
      <c r="J217" s="18"/>
      <c r="K217" s="183"/>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Planes y Programas</v>
      </c>
      <c r="C218" s="85" t="str" cm="1">
        <f t="array" ref="C218">IFERROR(INDEX('03.Muestra'!$F$8:$F$42,SMALL(IF("Página Web"='03.Muestra'!$D$8:$D$42,ROW('03.Muestra'!$F$8:$F$42)-MIN(ROW('03.Muestra'!$D$8:$D$42))+1,""),ROW()-208)),"")</f>
        <v>https://www.comunidad.madrid/transparencia/normativa-planificacion/planes-programas</v>
      </c>
      <c r="D218" s="99" t="s">
        <v>91</v>
      </c>
      <c r="E218" s="79" t="str">
        <f t="shared" si="10"/>
        <v/>
      </c>
      <c r="F218" s="18"/>
      <c r="G218" s="18"/>
      <c r="H218" s="18"/>
      <c r="I218" s="18"/>
      <c r="J218" s="18"/>
      <c r="K218" s="183"/>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Estrategia</v>
      </c>
      <c r="C219" s="85" t="str" cm="1">
        <f t="array" ref="C219">IFERROR(INDEX('03.Muestra'!$F$8:$F$42,SMALL(IF("Página Web"='03.Muestra'!$D$8:$D$42,ROW('03.Muestra'!$F$8:$F$42)-MIN(ROW('03.Muestra'!$D$8:$D$42))+1,""),ROW()-208)),"")</f>
        <v>https://www.comunidad.madrid/transparencia/informacion-institucional/planes-programas/estrategia-seguridad-del-paciente-del-servicio-madrileno</v>
      </c>
      <c r="D219" s="99" t="s">
        <v>91</v>
      </c>
      <c r="E219" s="79" t="str">
        <f t="shared" si="10"/>
        <v/>
      </c>
      <c r="F219" s="18"/>
      <c r="G219" s="18"/>
      <c r="H219" s="18"/>
      <c r="I219" s="18"/>
      <c r="J219" s="18"/>
      <c r="K219" s="183"/>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Huella</v>
      </c>
      <c r="C220" s="85" t="str" cm="1">
        <f t="array" ref="C220">IFERROR(INDEX('03.Muestra'!$F$8:$F$42,SMALL(IF("Página Web"='03.Muestra'!$D$8:$D$42,ROW('03.Muestra'!$F$8:$F$42)-MIN(ROW('03.Muestra'!$D$8:$D$42))+1,""),ROW()-208)),"")</f>
        <v>https://www.comunidad.madrid/transparencia/normativa-planificacion/huella-normativa</v>
      </c>
      <c r="D220" s="99" t="s">
        <v>91</v>
      </c>
      <c r="E220" s="79" t="str">
        <f t="shared" si="10"/>
        <v/>
      </c>
      <c r="F220" s="18"/>
      <c r="G220" s="18"/>
      <c r="H220" s="18"/>
      <c r="I220" s="18"/>
      <c r="J220" s="18"/>
      <c r="K220" s="183"/>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Decreto</v>
      </c>
      <c r="C221" s="85" t="str" cm="1">
        <f t="array" ref="C221">IFERROR(INDEX('03.Muestra'!$F$8:$F$42,SMALL(IF("Página Web"='03.Muestra'!$D$8:$D$42,ROW('03.Muestra'!$F$8:$F$42)-MIN(ROW('03.Muestra'!$D$8:$D$42))+1,""),ROW()-208)),"")</f>
        <v>https://www.comunidad.madrid/transparencia/decreto-del-consejo-gobierno-que-se-establece-estructura-organica-consejeria-familia-juventud-y</v>
      </c>
      <c r="D221" s="99" t="s">
        <v>91</v>
      </c>
      <c r="E221" s="79" t="str">
        <f t="shared" si="10"/>
        <v/>
      </c>
      <c r="F221" s="18"/>
      <c r="G221" s="18"/>
      <c r="H221" s="18"/>
      <c r="I221" s="18"/>
      <c r="J221" s="18"/>
      <c r="K221" s="183"/>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Entidades Locales</v>
      </c>
      <c r="C222" s="85" t="str" cm="1">
        <f t="array" ref="C222">IFERROR(INDEX('03.Muestra'!$F$8:$F$42,SMALL(IF("Página Web"='03.Muestra'!$D$8:$D$42,ROW('03.Muestra'!$F$8:$F$42)-MIN(ROW('03.Muestra'!$D$8:$D$42))+1,""),ROW()-208)),"")</f>
        <v>https://www.comunidad.madrid/transparencia/entidades-locales</v>
      </c>
      <c r="D222" s="99" t="s">
        <v>91</v>
      </c>
      <c r="E222" s="79" t="str">
        <f t="shared" si="10"/>
        <v/>
      </c>
      <c r="F222" s="18"/>
      <c r="G222" s="18"/>
      <c r="H222" s="18"/>
      <c r="I222" s="18"/>
      <c r="J222" s="18"/>
      <c r="K222" s="183"/>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83"/>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3"/>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3"/>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3"/>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3"/>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3"/>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3"/>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3"/>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3"/>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3"/>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3"/>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3"/>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3"/>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3"/>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3"/>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3"/>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3"/>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3"/>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3"/>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3"/>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3"/>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3"/>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3"/>
      <c r="L245" s="18"/>
      <c r="M245" s="18"/>
      <c r="N245" s="18"/>
      <c r="O245" s="18"/>
      <c r="P245" s="18"/>
      <c r="Q245" s="18"/>
      <c r="R245" s="18"/>
      <c r="S245" s="18"/>
      <c r="T245" s="18"/>
      <c r="U245" s="18"/>
      <c r="V245" s="18"/>
      <c r="W245" s="18"/>
      <c r="X245" s="18"/>
      <c r="Y245" s="18"/>
    </row>
    <row r="246" spans="1:25" ht="29.25" customHeight="1">
      <c r="A246" s="172" t="s">
        <v>98</v>
      </c>
      <c r="B246" s="23" t="s">
        <v>90</v>
      </c>
      <c r="C246" s="24" t="s">
        <v>147</v>
      </c>
      <c r="D246" s="25" t="s">
        <v>100</v>
      </c>
      <c r="E246" s="93"/>
      <c r="K246" s="183"/>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https://www.comunidad.madrid/transparencia/</v>
      </c>
      <c r="D247" s="99" t="s">
        <v>93</v>
      </c>
      <c r="E247" s="79" t="str">
        <f t="shared" ref="E247:E281" si="12">IF(D247&lt;&gt;"",IF(AND(B247&lt;&gt;"",C247&lt;&gt;""),"","ERR"),"")</f>
        <v/>
      </c>
      <c r="F247" s="86" t="s">
        <v>101</v>
      </c>
      <c r="G247" s="87" t="s">
        <v>102</v>
      </c>
      <c r="H247" s="88" t="s">
        <v>103</v>
      </c>
      <c r="I247" s="89" t="s">
        <v>93</v>
      </c>
      <c r="J247" s="90" t="s">
        <v>91</v>
      </c>
      <c r="K247" s="178"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Aviso legal</v>
      </c>
      <c r="C248" s="85" t="str" cm="1">
        <f t="array" ref="C248">IFERROR(INDEX('03.Muestra'!$F$8:$F$42,SMALL(IF("Página Web"='03.Muestra'!$D$8:$D$42,ROW('03.Muestra'!$F$8:$F$42)-MIN(ROW('03.Muestra'!$D$8:$D$42))+1,""),ROW()-246)),"")</f>
        <v>https://www.comunidad.madrid/transparencia/aviso-legal</v>
      </c>
      <c r="D248" s="99" t="s">
        <v>93</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14</v>
      </c>
      <c r="J248" s="91">
        <f ca="1">COUNTIF($D247:INDIRECT("$D" &amp;  SUM(ROW()-1,'03.Muestra'!$D$45)-1),J247)</f>
        <v>0</v>
      </c>
      <c r="K248" s="179">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Accesibilidad</v>
      </c>
      <c r="C249" s="85" t="str" cm="1">
        <f t="array" ref="C249">IFERROR(INDEX('03.Muestra'!$F$8:$F$42,SMALL(IF("Página Web"='03.Muestra'!$D$8:$D$42,ROW('03.Muestra'!$F$8:$F$42)-MIN(ROW('03.Muestra'!$D$8:$D$42))+1,""),ROW()-246)),"")</f>
        <v>https://www.comunidad.madrid/transparencia/declaracion-accesibilidad</v>
      </c>
      <c r="D249" s="99" t="s">
        <v>93</v>
      </c>
      <c r="E249" s="79" t="str">
        <f t="shared" si="12"/>
        <v/>
      </c>
      <c r="G249" s="18"/>
      <c r="H249" s="18"/>
      <c r="I249" s="18"/>
      <c r="J249" s="18"/>
      <c r="K249" s="183"/>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Tranparencia</v>
      </c>
      <c r="C250" s="85" t="str" cm="1">
        <f t="array" ref="C250">IFERROR(INDEX('03.Muestra'!$F$8:$F$42,SMALL(IF("Página Web"='03.Muestra'!$D$8:$D$42,ROW('03.Muestra'!$F$8:$F$42)-MIN(ROW('03.Muestra'!$D$8:$D$42))+1,""),ROW()-246)),"")</f>
        <v>https://www.comunidad.madrid/transparencia/que-es-transparencia</v>
      </c>
      <c r="D250" s="99" t="s">
        <v>93</v>
      </c>
      <c r="E250" s="79" t="str">
        <f t="shared" si="12"/>
        <v/>
      </c>
      <c r="G250" s="18"/>
      <c r="H250" s="18"/>
      <c r="I250" s="18"/>
      <c r="J250" s="18"/>
      <c r="K250" s="183"/>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Organización</v>
      </c>
      <c r="C251" s="85" t="str" cm="1">
        <f t="array" ref="C251">IFERROR(INDEX('03.Muestra'!$F$8:$F$42,SMALL(IF("Página Web"='03.Muestra'!$D$8:$D$42,ROW('03.Muestra'!$F$8:$F$42)-MIN(ROW('03.Muestra'!$D$8:$D$42))+1,""),ROW()-246)),"")</f>
        <v>https://www.comunidad.madrid/transparencia/organizacion-recursos/organizacion</v>
      </c>
      <c r="D251" s="99" t="s">
        <v>93</v>
      </c>
      <c r="E251" s="79" t="str">
        <f t="shared" si="12"/>
        <v/>
      </c>
      <c r="G251" s="18"/>
      <c r="H251" s="18"/>
      <c r="I251" s="18"/>
      <c r="J251" s="18"/>
      <c r="K251" s="183"/>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Quejas</v>
      </c>
      <c r="C252" s="85" t="str" cm="1">
        <f t="array" ref="C252">IFERROR(INDEX('03.Muestra'!$F$8:$F$42,SMALL(IF("Página Web"='03.Muestra'!$D$8:$D$42,ROW('03.Muestra'!$F$8:$F$42)-MIN(ROW('03.Muestra'!$D$8:$D$42))+1,""),ROW()-246)),"")</f>
        <v>https://www.comunidad.madrid/transparencia/quejas-y-reclamaciones</v>
      </c>
      <c r="D252" s="99" t="s">
        <v>93</v>
      </c>
      <c r="E252" s="79" t="str">
        <f t="shared" si="12"/>
        <v/>
      </c>
      <c r="G252" s="18"/>
      <c r="H252" s="18"/>
      <c r="I252" s="18"/>
      <c r="J252" s="18"/>
      <c r="K252" s="183"/>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Contratos</v>
      </c>
      <c r="C253" s="85" t="str" cm="1">
        <f t="array" ref="C253">IFERROR(INDEX('03.Muestra'!$F$8:$F$42,SMALL(IF("Página Web"='03.Muestra'!$D$8:$D$42,ROW('03.Muestra'!$F$8:$F$42)-MIN(ROW('03.Muestra'!$D$8:$D$42))+1,""),ROW()-246)),"")</f>
        <v>https://www.comunidad.madrid/transparencia/contratos</v>
      </c>
      <c r="D253" s="99" t="s">
        <v>93</v>
      </c>
      <c r="E253" s="79" t="str">
        <f t="shared" si="12"/>
        <v/>
      </c>
      <c r="F253" s="18"/>
      <c r="G253" s="18"/>
      <c r="H253" s="18"/>
      <c r="I253" s="18"/>
      <c r="J253" s="18"/>
      <c r="K253" s="183"/>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Consulta</v>
      </c>
      <c r="C254" s="85" t="str" cm="1">
        <f t="array" ref="C254">IFERROR(INDEX('03.Muestra'!$F$8:$F$42,SMALL(IF("Página Web"='03.Muestra'!$D$8:$D$42,ROW('03.Muestra'!$F$8:$F$42)-MIN(ROW('03.Muestra'!$D$8:$D$42))+1,""),ROW()-246)),"")</f>
        <v>https://www.comunidad.madrid/transparencia/normativa-planificacion/consulta-publica</v>
      </c>
      <c r="D254" s="99" t="s">
        <v>93</v>
      </c>
      <c r="E254" s="79" t="str">
        <f t="shared" si="12"/>
        <v/>
      </c>
      <c r="F254" s="18"/>
      <c r="G254" s="18"/>
      <c r="H254" s="18"/>
      <c r="I254" s="18"/>
      <c r="J254" s="18"/>
      <c r="K254" s="183"/>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Proyecto</v>
      </c>
      <c r="C255" s="85" t="str" cm="1">
        <f t="array" ref="C255">IFERROR(INDEX('03.Muestra'!$F$8:$F$42,SMALL(IF("Página Web"='03.Muestra'!$D$8:$D$42,ROW('03.Muestra'!$F$8:$F$42)-MIN(ROW('03.Muestra'!$D$8:$D$42))+1,""),ROW()-246)),"")</f>
        <v>https://www.comunidad.madrid/transparencia/proyecto-orden-que-se-crea-comision-farmacia-y-productos-sanitarios-cm-y-se-establece-su-composicion</v>
      </c>
      <c r="D255" s="99" t="s">
        <v>93</v>
      </c>
      <c r="E255" s="79" t="str">
        <f t="shared" si="12"/>
        <v/>
      </c>
      <c r="F255" s="18"/>
      <c r="G255" s="18"/>
      <c r="H255" s="18"/>
      <c r="I255" s="18"/>
      <c r="J255" s="18"/>
      <c r="K255" s="183"/>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Planes y Programas</v>
      </c>
      <c r="C256" s="85" t="str" cm="1">
        <f t="array" ref="C256">IFERROR(INDEX('03.Muestra'!$F$8:$F$42,SMALL(IF("Página Web"='03.Muestra'!$D$8:$D$42,ROW('03.Muestra'!$F$8:$F$42)-MIN(ROW('03.Muestra'!$D$8:$D$42))+1,""),ROW()-246)),"")</f>
        <v>https://www.comunidad.madrid/transparencia/normativa-planificacion/planes-programas</v>
      </c>
      <c r="D256" s="99" t="s">
        <v>93</v>
      </c>
      <c r="E256" s="79" t="str">
        <f t="shared" si="12"/>
        <v/>
      </c>
      <c r="F256" s="18"/>
      <c r="G256" s="18"/>
      <c r="H256" s="18"/>
      <c r="I256" s="18"/>
      <c r="J256" s="18"/>
      <c r="K256" s="183"/>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Estrategia</v>
      </c>
      <c r="C257" s="85" t="str" cm="1">
        <f t="array" ref="C257">IFERROR(INDEX('03.Muestra'!$F$8:$F$42,SMALL(IF("Página Web"='03.Muestra'!$D$8:$D$42,ROW('03.Muestra'!$F$8:$F$42)-MIN(ROW('03.Muestra'!$D$8:$D$42))+1,""),ROW()-246)),"")</f>
        <v>https://www.comunidad.madrid/transparencia/informacion-institucional/planes-programas/estrategia-seguridad-del-paciente-del-servicio-madrileno</v>
      </c>
      <c r="D257" s="99" t="s">
        <v>93</v>
      </c>
      <c r="E257" s="79" t="str">
        <f t="shared" si="12"/>
        <v/>
      </c>
      <c r="F257" s="18"/>
      <c r="G257" s="18"/>
      <c r="H257" s="18"/>
      <c r="I257" s="18"/>
      <c r="J257" s="18"/>
      <c r="K257" s="183"/>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Huella</v>
      </c>
      <c r="C258" s="85" t="str" cm="1">
        <f t="array" ref="C258">IFERROR(INDEX('03.Muestra'!$F$8:$F$42,SMALL(IF("Página Web"='03.Muestra'!$D$8:$D$42,ROW('03.Muestra'!$F$8:$F$42)-MIN(ROW('03.Muestra'!$D$8:$D$42))+1,""),ROW()-246)),"")</f>
        <v>https://www.comunidad.madrid/transparencia/normativa-planificacion/huella-normativa</v>
      </c>
      <c r="D258" s="99" t="s">
        <v>93</v>
      </c>
      <c r="E258" s="79" t="str">
        <f t="shared" si="12"/>
        <v/>
      </c>
      <c r="F258" s="18"/>
      <c r="G258" s="18"/>
      <c r="H258" s="18"/>
      <c r="I258" s="18"/>
      <c r="J258" s="18"/>
      <c r="K258" s="183"/>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Decreto</v>
      </c>
      <c r="C259" s="85" t="str" cm="1">
        <f t="array" ref="C259">IFERROR(INDEX('03.Muestra'!$F$8:$F$42,SMALL(IF("Página Web"='03.Muestra'!$D$8:$D$42,ROW('03.Muestra'!$F$8:$F$42)-MIN(ROW('03.Muestra'!$D$8:$D$42))+1,""),ROW()-246)),"")</f>
        <v>https://www.comunidad.madrid/transparencia/decreto-del-consejo-gobierno-que-se-establece-estructura-organica-consejeria-familia-juventud-y</v>
      </c>
      <c r="D259" s="99" t="s">
        <v>93</v>
      </c>
      <c r="E259" s="79" t="str">
        <f t="shared" si="12"/>
        <v/>
      </c>
      <c r="F259" s="18"/>
      <c r="G259" s="18"/>
      <c r="H259" s="18"/>
      <c r="I259" s="18"/>
      <c r="J259" s="18"/>
      <c r="K259" s="183"/>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Entidades Locales</v>
      </c>
      <c r="C260" s="85" t="str" cm="1">
        <f t="array" ref="C260">IFERROR(INDEX('03.Muestra'!$F$8:$F$42,SMALL(IF("Página Web"='03.Muestra'!$D$8:$D$42,ROW('03.Muestra'!$F$8:$F$42)-MIN(ROW('03.Muestra'!$D$8:$D$42))+1,""),ROW()-246)),"")</f>
        <v>https://www.comunidad.madrid/transparencia/entidades-locales</v>
      </c>
      <c r="D260" s="99" t="s">
        <v>93</v>
      </c>
      <c r="E260" s="79" t="str">
        <f t="shared" si="12"/>
        <v/>
      </c>
      <c r="F260" s="18"/>
      <c r="G260" s="18"/>
      <c r="H260" s="18"/>
      <c r="I260" s="18"/>
      <c r="J260" s="18"/>
      <c r="K260" s="183"/>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61:D281" si="13">IF(AND(B261&lt;&gt;"",C261&lt;&gt;""),"N/T","")</f>
        <v/>
      </c>
      <c r="E261" s="79" t="str">
        <f t="shared" si="12"/>
        <v/>
      </c>
      <c r="F261" s="18"/>
      <c r="G261" s="18"/>
      <c r="H261" s="18"/>
      <c r="I261" s="18"/>
      <c r="J261" s="18"/>
      <c r="K261" s="183"/>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3"/>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3"/>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3"/>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3"/>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3"/>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3"/>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3"/>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3"/>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3"/>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3"/>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3"/>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3"/>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3"/>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3"/>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3"/>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3"/>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3"/>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3"/>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3"/>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3"/>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3"/>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3"/>
      <c r="L283" s="18"/>
      <c r="M283" s="18"/>
      <c r="N283" s="18"/>
      <c r="O283" s="18"/>
      <c r="P283" s="18"/>
      <c r="Q283" s="18"/>
      <c r="R283" s="18"/>
      <c r="S283" s="18"/>
      <c r="T283" s="18"/>
      <c r="U283" s="18"/>
      <c r="V283" s="18"/>
      <c r="W283" s="18"/>
      <c r="X283" s="18"/>
      <c r="Y283" s="18"/>
    </row>
    <row r="284" spans="1:25" ht="29.25" customHeight="1">
      <c r="A284" s="172" t="s">
        <v>98</v>
      </c>
      <c r="B284" s="23" t="s">
        <v>90</v>
      </c>
      <c r="C284" s="24" t="s">
        <v>148</v>
      </c>
      <c r="D284" s="25" t="s">
        <v>100</v>
      </c>
      <c r="E284" s="93"/>
      <c r="K284" s="183"/>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https://www.comunidad.madrid/transparencia/</v>
      </c>
      <c r="D285" s="99" t="s">
        <v>93</v>
      </c>
      <c r="E285" s="79" t="str">
        <f t="shared" ref="E285:E319" si="14">IF(D285&lt;&gt;"",IF(AND(B285&lt;&gt;"",C285&lt;&gt;""),"","ERR"),"")</f>
        <v/>
      </c>
      <c r="F285" s="86" t="s">
        <v>101</v>
      </c>
      <c r="G285" s="87" t="s">
        <v>102</v>
      </c>
      <c r="H285" s="88" t="s">
        <v>103</v>
      </c>
      <c r="I285" s="89" t="s">
        <v>93</v>
      </c>
      <c r="J285" s="90" t="s">
        <v>91</v>
      </c>
      <c r="K285" s="178"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Aviso legal</v>
      </c>
      <c r="C286" s="85" t="str" cm="1">
        <f t="array" ref="C286">IFERROR(INDEX('03.Muestra'!$F$8:$F$42,SMALL(IF("Página Web"='03.Muestra'!$D$8:$D$42,ROW('03.Muestra'!$F$8:$F$42)-MIN(ROW('03.Muestra'!$D$8:$D$42))+1,""),ROW()-284)),"")</f>
        <v>https://www.comunidad.madrid/transparencia/aviso-legal</v>
      </c>
      <c r="D286" s="99" t="s">
        <v>93</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14</v>
      </c>
      <c r="J286" s="91">
        <f ca="1">COUNTIF($D285:INDIRECT("$D" &amp;  SUM(ROW()-1,'03.Muestra'!$D$45)-1),J285)</f>
        <v>0</v>
      </c>
      <c r="K286" s="179">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Accesibilidad</v>
      </c>
      <c r="C287" s="85" t="str" cm="1">
        <f t="array" ref="C287">IFERROR(INDEX('03.Muestra'!$F$8:$F$42,SMALL(IF("Página Web"='03.Muestra'!$D$8:$D$42,ROW('03.Muestra'!$F$8:$F$42)-MIN(ROW('03.Muestra'!$D$8:$D$42))+1,""),ROW()-284)),"")</f>
        <v>https://www.comunidad.madrid/transparencia/declaracion-accesibilidad</v>
      </c>
      <c r="D287" s="99" t="s">
        <v>93</v>
      </c>
      <c r="E287" s="79" t="str">
        <f t="shared" si="14"/>
        <v/>
      </c>
      <c r="G287" s="18"/>
      <c r="H287" s="18"/>
      <c r="I287" s="18"/>
      <c r="J287" s="18"/>
      <c r="K287" s="183"/>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Tranparencia</v>
      </c>
      <c r="C288" s="85" t="str" cm="1">
        <f t="array" ref="C288">IFERROR(INDEX('03.Muestra'!$F$8:$F$42,SMALL(IF("Página Web"='03.Muestra'!$D$8:$D$42,ROW('03.Muestra'!$F$8:$F$42)-MIN(ROW('03.Muestra'!$D$8:$D$42))+1,""),ROW()-284)),"")</f>
        <v>https://www.comunidad.madrid/transparencia/que-es-transparencia</v>
      </c>
      <c r="D288" s="99" t="s">
        <v>93</v>
      </c>
      <c r="E288" s="79" t="str">
        <f t="shared" si="14"/>
        <v/>
      </c>
      <c r="G288" s="18"/>
      <c r="H288" s="18"/>
      <c r="I288" s="18"/>
      <c r="J288" s="18"/>
      <c r="K288" s="183"/>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Organización</v>
      </c>
      <c r="C289" s="85" t="str" cm="1">
        <f t="array" ref="C289">IFERROR(INDEX('03.Muestra'!$F$8:$F$42,SMALL(IF("Página Web"='03.Muestra'!$D$8:$D$42,ROW('03.Muestra'!$F$8:$F$42)-MIN(ROW('03.Muestra'!$D$8:$D$42))+1,""),ROW()-284)),"")</f>
        <v>https://www.comunidad.madrid/transparencia/organizacion-recursos/organizacion</v>
      </c>
      <c r="D289" s="99" t="s">
        <v>93</v>
      </c>
      <c r="E289" s="79" t="str">
        <f t="shared" si="14"/>
        <v/>
      </c>
      <c r="G289" s="18"/>
      <c r="H289" s="18"/>
      <c r="I289" s="18"/>
      <c r="J289" s="18"/>
      <c r="K289" s="183"/>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Quejas</v>
      </c>
      <c r="C290" s="85" t="str" cm="1">
        <f t="array" ref="C290">IFERROR(INDEX('03.Muestra'!$F$8:$F$42,SMALL(IF("Página Web"='03.Muestra'!$D$8:$D$42,ROW('03.Muestra'!$F$8:$F$42)-MIN(ROW('03.Muestra'!$D$8:$D$42))+1,""),ROW()-284)),"")</f>
        <v>https://www.comunidad.madrid/transparencia/quejas-y-reclamaciones</v>
      </c>
      <c r="D290" s="99" t="s">
        <v>93</v>
      </c>
      <c r="E290" s="79" t="str">
        <f t="shared" si="14"/>
        <v/>
      </c>
      <c r="G290" s="18"/>
      <c r="H290" s="18"/>
      <c r="I290" s="18"/>
      <c r="J290" s="18"/>
      <c r="K290" s="183"/>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Contratos</v>
      </c>
      <c r="C291" s="85" t="str" cm="1">
        <f t="array" ref="C291">IFERROR(INDEX('03.Muestra'!$F$8:$F$42,SMALL(IF("Página Web"='03.Muestra'!$D$8:$D$42,ROW('03.Muestra'!$F$8:$F$42)-MIN(ROW('03.Muestra'!$D$8:$D$42))+1,""),ROW()-284)),"")</f>
        <v>https://www.comunidad.madrid/transparencia/contratos</v>
      </c>
      <c r="D291" s="99" t="s">
        <v>93</v>
      </c>
      <c r="E291" s="79" t="str">
        <f t="shared" si="14"/>
        <v/>
      </c>
      <c r="F291" s="18"/>
      <c r="G291" s="18"/>
      <c r="H291" s="18"/>
      <c r="I291" s="18"/>
      <c r="J291" s="18"/>
      <c r="K291" s="183"/>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Consulta</v>
      </c>
      <c r="C292" s="85" t="str" cm="1">
        <f t="array" ref="C292">IFERROR(INDEX('03.Muestra'!$F$8:$F$42,SMALL(IF("Página Web"='03.Muestra'!$D$8:$D$42,ROW('03.Muestra'!$F$8:$F$42)-MIN(ROW('03.Muestra'!$D$8:$D$42))+1,""),ROW()-284)),"")</f>
        <v>https://www.comunidad.madrid/transparencia/normativa-planificacion/consulta-publica</v>
      </c>
      <c r="D292" s="99" t="s">
        <v>93</v>
      </c>
      <c r="E292" s="79" t="str">
        <f t="shared" si="14"/>
        <v/>
      </c>
      <c r="F292" s="18"/>
      <c r="G292" s="18"/>
      <c r="H292" s="18"/>
      <c r="I292" s="18"/>
      <c r="J292" s="18"/>
      <c r="K292" s="183"/>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Proyecto</v>
      </c>
      <c r="C293" s="85" t="str" cm="1">
        <f t="array" ref="C293">IFERROR(INDEX('03.Muestra'!$F$8:$F$42,SMALL(IF("Página Web"='03.Muestra'!$D$8:$D$42,ROW('03.Muestra'!$F$8:$F$42)-MIN(ROW('03.Muestra'!$D$8:$D$42))+1,""),ROW()-284)),"")</f>
        <v>https://www.comunidad.madrid/transparencia/proyecto-orden-que-se-crea-comision-farmacia-y-productos-sanitarios-cm-y-se-establece-su-composicion</v>
      </c>
      <c r="D293" s="99" t="s">
        <v>93</v>
      </c>
      <c r="E293" s="79" t="str">
        <f t="shared" si="14"/>
        <v/>
      </c>
      <c r="F293" s="18"/>
      <c r="G293" s="18"/>
      <c r="H293" s="18"/>
      <c r="I293" s="18"/>
      <c r="J293" s="18"/>
      <c r="K293" s="183"/>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Planes y Programas</v>
      </c>
      <c r="C294" s="85" t="str" cm="1">
        <f t="array" ref="C294">IFERROR(INDEX('03.Muestra'!$F$8:$F$42,SMALL(IF("Página Web"='03.Muestra'!$D$8:$D$42,ROW('03.Muestra'!$F$8:$F$42)-MIN(ROW('03.Muestra'!$D$8:$D$42))+1,""),ROW()-284)),"")</f>
        <v>https://www.comunidad.madrid/transparencia/normativa-planificacion/planes-programas</v>
      </c>
      <c r="D294" s="99" t="s">
        <v>93</v>
      </c>
      <c r="E294" s="79" t="str">
        <f t="shared" si="14"/>
        <v/>
      </c>
      <c r="F294" s="18"/>
      <c r="G294" s="18"/>
      <c r="H294" s="18"/>
      <c r="I294" s="18"/>
      <c r="J294" s="18"/>
      <c r="K294" s="183"/>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Estrategia</v>
      </c>
      <c r="C295" s="85" t="str" cm="1">
        <f t="array" ref="C295">IFERROR(INDEX('03.Muestra'!$F$8:$F$42,SMALL(IF("Página Web"='03.Muestra'!$D$8:$D$42,ROW('03.Muestra'!$F$8:$F$42)-MIN(ROW('03.Muestra'!$D$8:$D$42))+1,""),ROW()-284)),"")</f>
        <v>https://www.comunidad.madrid/transparencia/informacion-institucional/planes-programas/estrategia-seguridad-del-paciente-del-servicio-madrileno</v>
      </c>
      <c r="D295" s="99" t="s">
        <v>93</v>
      </c>
      <c r="E295" s="79" t="str">
        <f t="shared" si="14"/>
        <v/>
      </c>
      <c r="F295" s="18"/>
      <c r="G295" s="18"/>
      <c r="H295" s="18"/>
      <c r="I295" s="18"/>
      <c r="J295" s="18"/>
      <c r="K295" s="183"/>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Huella</v>
      </c>
      <c r="C296" s="85" t="str" cm="1">
        <f t="array" ref="C296">IFERROR(INDEX('03.Muestra'!$F$8:$F$42,SMALL(IF("Página Web"='03.Muestra'!$D$8:$D$42,ROW('03.Muestra'!$F$8:$F$42)-MIN(ROW('03.Muestra'!$D$8:$D$42))+1,""),ROW()-284)),"")</f>
        <v>https://www.comunidad.madrid/transparencia/normativa-planificacion/huella-normativa</v>
      </c>
      <c r="D296" s="99" t="s">
        <v>93</v>
      </c>
      <c r="E296" s="79" t="str">
        <f t="shared" si="14"/>
        <v/>
      </c>
      <c r="F296" s="18"/>
      <c r="G296" s="18"/>
      <c r="H296" s="18"/>
      <c r="I296" s="18"/>
      <c r="J296" s="18"/>
      <c r="K296" s="183"/>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Decreto</v>
      </c>
      <c r="C297" s="85" t="str" cm="1">
        <f t="array" ref="C297">IFERROR(INDEX('03.Muestra'!$F$8:$F$42,SMALL(IF("Página Web"='03.Muestra'!$D$8:$D$42,ROW('03.Muestra'!$F$8:$F$42)-MIN(ROW('03.Muestra'!$D$8:$D$42))+1,""),ROW()-284)),"")</f>
        <v>https://www.comunidad.madrid/transparencia/decreto-del-consejo-gobierno-que-se-establece-estructura-organica-consejeria-familia-juventud-y</v>
      </c>
      <c r="D297" s="99" t="s">
        <v>93</v>
      </c>
      <c r="E297" s="79" t="str">
        <f t="shared" si="14"/>
        <v/>
      </c>
      <c r="F297" s="18"/>
      <c r="G297" s="18"/>
      <c r="H297" s="18"/>
      <c r="I297" s="18"/>
      <c r="J297" s="18"/>
      <c r="K297" s="183"/>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Entidades Locales</v>
      </c>
      <c r="C298" s="85" t="str" cm="1">
        <f t="array" ref="C298">IFERROR(INDEX('03.Muestra'!$F$8:$F$42,SMALL(IF("Página Web"='03.Muestra'!$D$8:$D$42,ROW('03.Muestra'!$F$8:$F$42)-MIN(ROW('03.Muestra'!$D$8:$D$42))+1,""),ROW()-284)),"")</f>
        <v>https://www.comunidad.madrid/transparencia/entidades-locales</v>
      </c>
      <c r="D298" s="99" t="s">
        <v>93</v>
      </c>
      <c r="E298" s="79" t="str">
        <f t="shared" si="14"/>
        <v/>
      </c>
      <c r="F298" s="18"/>
      <c r="G298" s="18"/>
      <c r="H298" s="18"/>
      <c r="I298" s="18"/>
      <c r="J298" s="18"/>
      <c r="K298" s="183"/>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99:D319" si="15">IF(AND(B299&lt;&gt;"",C299&lt;&gt;""),"N/T","")</f>
        <v/>
      </c>
      <c r="E299" s="79" t="str">
        <f t="shared" si="14"/>
        <v/>
      </c>
      <c r="F299" s="18"/>
      <c r="G299" s="18"/>
      <c r="H299" s="18"/>
      <c r="I299" s="18"/>
      <c r="J299" s="18"/>
      <c r="K299" s="183"/>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3"/>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3"/>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3"/>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3"/>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3"/>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3"/>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3"/>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3"/>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3"/>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3"/>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3"/>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3"/>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3"/>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3"/>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3"/>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3"/>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3"/>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3"/>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3"/>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3"/>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3"/>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3"/>
      <c r="L321" s="18"/>
      <c r="M321" s="18"/>
      <c r="N321" s="18"/>
      <c r="O321" s="18"/>
      <c r="P321" s="18"/>
      <c r="Q321" s="18"/>
      <c r="R321" s="18"/>
      <c r="S321" s="18"/>
      <c r="T321" s="18"/>
      <c r="U321" s="18"/>
      <c r="V321" s="18"/>
      <c r="W321" s="18"/>
      <c r="X321" s="18"/>
      <c r="Y321" s="18"/>
    </row>
    <row r="322" spans="1:25" ht="29.25" customHeight="1">
      <c r="A322" s="172" t="s">
        <v>98</v>
      </c>
      <c r="B322" s="23" t="s">
        <v>90</v>
      </c>
      <c r="C322" s="24" t="s">
        <v>149</v>
      </c>
      <c r="D322" s="25" t="s">
        <v>100</v>
      </c>
      <c r="E322" s="93"/>
      <c r="K322" s="183"/>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https://www.comunidad.madrid/transparencia/</v>
      </c>
      <c r="D323" s="99" t="s">
        <v>91</v>
      </c>
      <c r="E323" s="79" t="str">
        <f t="shared" ref="E323:E357" si="16">IF(D323&lt;&gt;"",IF(AND(B323&lt;&gt;"",C323&lt;&gt;""),"","ERR"),"")</f>
        <v/>
      </c>
      <c r="F323" s="86" t="s">
        <v>101</v>
      </c>
      <c r="G323" s="87" t="s">
        <v>102</v>
      </c>
      <c r="H323" s="88" t="s">
        <v>103</v>
      </c>
      <c r="I323" s="89" t="s">
        <v>93</v>
      </c>
      <c r="J323" s="90" t="s">
        <v>91</v>
      </c>
      <c r="K323" s="178"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Aviso legal</v>
      </c>
      <c r="C324" s="85" t="str" cm="1">
        <f t="array" ref="C324">IFERROR(INDEX('03.Muestra'!$F$8:$F$42,SMALL(IF("Página Web"='03.Muestra'!$D$8:$D$42,ROW('03.Muestra'!$F$8:$F$42)-MIN(ROW('03.Muestra'!$D$8:$D$42))+1,""),ROW()-322)),"")</f>
        <v>https://www.comunidad.madrid/transparencia/aviso-legal</v>
      </c>
      <c r="D324" s="99" t="s">
        <v>91</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14</v>
      </c>
      <c r="K324" s="179">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Accesibilidad</v>
      </c>
      <c r="C325" s="85" t="str" cm="1">
        <f t="array" ref="C325">IFERROR(INDEX('03.Muestra'!$F$8:$F$42,SMALL(IF("Página Web"='03.Muestra'!$D$8:$D$42,ROW('03.Muestra'!$F$8:$F$42)-MIN(ROW('03.Muestra'!$D$8:$D$42))+1,""),ROW()-322)),"")</f>
        <v>https://www.comunidad.madrid/transparencia/declaracion-accesibilidad</v>
      </c>
      <c r="D325" s="99" t="s">
        <v>91</v>
      </c>
      <c r="E325" s="79" t="str">
        <f t="shared" si="16"/>
        <v/>
      </c>
      <c r="G325" s="18"/>
      <c r="H325" s="18"/>
      <c r="I325" s="18"/>
      <c r="J325" s="18"/>
      <c r="K325" s="183"/>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Tranparencia</v>
      </c>
      <c r="C326" s="85" t="str" cm="1">
        <f t="array" ref="C326">IFERROR(INDEX('03.Muestra'!$F$8:$F$42,SMALL(IF("Página Web"='03.Muestra'!$D$8:$D$42,ROW('03.Muestra'!$F$8:$F$42)-MIN(ROW('03.Muestra'!$D$8:$D$42))+1,""),ROW()-322)),"")</f>
        <v>https://www.comunidad.madrid/transparencia/que-es-transparencia</v>
      </c>
      <c r="D326" s="99" t="s">
        <v>91</v>
      </c>
      <c r="E326" s="79" t="str">
        <f t="shared" si="16"/>
        <v/>
      </c>
      <c r="G326" s="18"/>
      <c r="H326" s="18"/>
      <c r="I326" s="18"/>
      <c r="J326" s="18"/>
      <c r="K326" s="183"/>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Organización</v>
      </c>
      <c r="C327" s="85" t="str" cm="1">
        <f t="array" ref="C327">IFERROR(INDEX('03.Muestra'!$F$8:$F$42,SMALL(IF("Página Web"='03.Muestra'!$D$8:$D$42,ROW('03.Muestra'!$F$8:$F$42)-MIN(ROW('03.Muestra'!$D$8:$D$42))+1,""),ROW()-322)),"")</f>
        <v>https://www.comunidad.madrid/transparencia/organizacion-recursos/organizacion</v>
      </c>
      <c r="D327" s="99" t="s">
        <v>91</v>
      </c>
      <c r="E327" s="79" t="str">
        <f t="shared" si="16"/>
        <v/>
      </c>
      <c r="G327" s="18"/>
      <c r="H327" s="18"/>
      <c r="I327" s="18"/>
      <c r="J327" s="18"/>
      <c r="K327" s="183"/>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Quejas</v>
      </c>
      <c r="C328" s="85" t="str" cm="1">
        <f t="array" ref="C328">IFERROR(INDEX('03.Muestra'!$F$8:$F$42,SMALL(IF("Página Web"='03.Muestra'!$D$8:$D$42,ROW('03.Muestra'!$F$8:$F$42)-MIN(ROW('03.Muestra'!$D$8:$D$42))+1,""),ROW()-322)),"")</f>
        <v>https://www.comunidad.madrid/transparencia/quejas-y-reclamaciones</v>
      </c>
      <c r="D328" s="99" t="s">
        <v>91</v>
      </c>
      <c r="E328" s="79" t="str">
        <f t="shared" si="16"/>
        <v/>
      </c>
      <c r="G328" s="18"/>
      <c r="H328" s="18"/>
      <c r="I328" s="18"/>
      <c r="J328" s="18"/>
      <c r="K328" s="183"/>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Contratos</v>
      </c>
      <c r="C329" s="85" t="str" cm="1">
        <f t="array" ref="C329">IFERROR(INDEX('03.Muestra'!$F$8:$F$42,SMALL(IF("Página Web"='03.Muestra'!$D$8:$D$42,ROW('03.Muestra'!$F$8:$F$42)-MIN(ROW('03.Muestra'!$D$8:$D$42))+1,""),ROW()-322)),"")</f>
        <v>https://www.comunidad.madrid/transparencia/contratos</v>
      </c>
      <c r="D329" s="99" t="s">
        <v>91</v>
      </c>
      <c r="E329" s="79" t="str">
        <f t="shared" si="16"/>
        <v/>
      </c>
      <c r="F329" s="18"/>
      <c r="G329" s="18"/>
      <c r="H329" s="18"/>
      <c r="I329" s="18"/>
      <c r="J329" s="18"/>
      <c r="K329" s="183"/>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Consulta</v>
      </c>
      <c r="C330" s="85" t="str" cm="1">
        <f t="array" ref="C330">IFERROR(INDEX('03.Muestra'!$F$8:$F$42,SMALL(IF("Página Web"='03.Muestra'!$D$8:$D$42,ROW('03.Muestra'!$F$8:$F$42)-MIN(ROW('03.Muestra'!$D$8:$D$42))+1,""),ROW()-322)),"")</f>
        <v>https://www.comunidad.madrid/transparencia/normativa-planificacion/consulta-publica</v>
      </c>
      <c r="D330" s="99" t="s">
        <v>91</v>
      </c>
      <c r="E330" s="79" t="str">
        <f t="shared" si="16"/>
        <v/>
      </c>
      <c r="F330" s="18"/>
      <c r="G330" s="18"/>
      <c r="H330" s="18"/>
      <c r="I330" s="18"/>
      <c r="J330" s="18"/>
      <c r="K330" s="183"/>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Proyecto</v>
      </c>
      <c r="C331" s="85" t="str" cm="1">
        <f t="array" ref="C331">IFERROR(INDEX('03.Muestra'!$F$8:$F$42,SMALL(IF("Página Web"='03.Muestra'!$D$8:$D$42,ROW('03.Muestra'!$F$8:$F$42)-MIN(ROW('03.Muestra'!$D$8:$D$42))+1,""),ROW()-322)),"")</f>
        <v>https://www.comunidad.madrid/transparencia/proyecto-orden-que-se-crea-comision-farmacia-y-productos-sanitarios-cm-y-se-establece-su-composicion</v>
      </c>
      <c r="D331" s="99" t="s">
        <v>91</v>
      </c>
      <c r="E331" s="79" t="str">
        <f t="shared" si="16"/>
        <v/>
      </c>
      <c r="F331" s="18"/>
      <c r="G331" s="18"/>
      <c r="H331" s="18"/>
      <c r="I331" s="18"/>
      <c r="J331" s="18"/>
      <c r="K331" s="183"/>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Planes y Programas</v>
      </c>
      <c r="C332" s="85" t="str" cm="1">
        <f t="array" ref="C332">IFERROR(INDEX('03.Muestra'!$F$8:$F$42,SMALL(IF("Página Web"='03.Muestra'!$D$8:$D$42,ROW('03.Muestra'!$F$8:$F$42)-MIN(ROW('03.Muestra'!$D$8:$D$42))+1,""),ROW()-322)),"")</f>
        <v>https://www.comunidad.madrid/transparencia/normativa-planificacion/planes-programas</v>
      </c>
      <c r="D332" s="99" t="s">
        <v>91</v>
      </c>
      <c r="E332" s="79" t="str">
        <f t="shared" si="16"/>
        <v/>
      </c>
      <c r="F332" s="18"/>
      <c r="G332" s="18"/>
      <c r="H332" s="18"/>
      <c r="I332" s="18"/>
      <c r="J332" s="18"/>
      <c r="K332" s="183"/>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Estrategia</v>
      </c>
      <c r="C333" s="85" t="str" cm="1">
        <f t="array" ref="C333">IFERROR(INDEX('03.Muestra'!$F$8:$F$42,SMALL(IF("Página Web"='03.Muestra'!$D$8:$D$42,ROW('03.Muestra'!$F$8:$F$42)-MIN(ROW('03.Muestra'!$D$8:$D$42))+1,""),ROW()-322)),"")</f>
        <v>https://www.comunidad.madrid/transparencia/informacion-institucional/planes-programas/estrategia-seguridad-del-paciente-del-servicio-madrileno</v>
      </c>
      <c r="D333" s="99" t="s">
        <v>91</v>
      </c>
      <c r="E333" s="79" t="str">
        <f t="shared" si="16"/>
        <v/>
      </c>
      <c r="F333" s="18"/>
      <c r="G333" s="18"/>
      <c r="H333" s="18"/>
      <c r="I333" s="18"/>
      <c r="J333" s="18"/>
      <c r="K333" s="183"/>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Huella</v>
      </c>
      <c r="C334" s="85" t="str" cm="1">
        <f t="array" ref="C334">IFERROR(INDEX('03.Muestra'!$F$8:$F$42,SMALL(IF("Página Web"='03.Muestra'!$D$8:$D$42,ROW('03.Muestra'!$F$8:$F$42)-MIN(ROW('03.Muestra'!$D$8:$D$42))+1,""),ROW()-322)),"")</f>
        <v>https://www.comunidad.madrid/transparencia/normativa-planificacion/huella-normativa</v>
      </c>
      <c r="D334" s="99" t="s">
        <v>91</v>
      </c>
      <c r="E334" s="79" t="str">
        <f t="shared" si="16"/>
        <v/>
      </c>
      <c r="F334" s="18"/>
      <c r="G334" s="18"/>
      <c r="H334" s="18"/>
      <c r="I334" s="18"/>
      <c r="J334" s="18"/>
      <c r="K334" s="183"/>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Decreto</v>
      </c>
      <c r="C335" s="85" t="str" cm="1">
        <f t="array" ref="C335">IFERROR(INDEX('03.Muestra'!$F$8:$F$42,SMALL(IF("Página Web"='03.Muestra'!$D$8:$D$42,ROW('03.Muestra'!$F$8:$F$42)-MIN(ROW('03.Muestra'!$D$8:$D$42))+1,""),ROW()-322)),"")</f>
        <v>https://www.comunidad.madrid/transparencia/decreto-del-consejo-gobierno-que-se-establece-estructura-organica-consejeria-familia-juventud-y</v>
      </c>
      <c r="D335" s="99" t="s">
        <v>91</v>
      </c>
      <c r="E335" s="79" t="str">
        <f t="shared" si="16"/>
        <v/>
      </c>
      <c r="F335" s="18"/>
      <c r="G335" s="18"/>
      <c r="H335" s="18"/>
      <c r="I335" s="18"/>
      <c r="J335" s="18"/>
      <c r="K335" s="183"/>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Entidades Locales</v>
      </c>
      <c r="C336" s="85" t="str" cm="1">
        <f t="array" ref="C336">IFERROR(INDEX('03.Muestra'!$F$8:$F$42,SMALL(IF("Página Web"='03.Muestra'!$D$8:$D$42,ROW('03.Muestra'!$F$8:$F$42)-MIN(ROW('03.Muestra'!$D$8:$D$42))+1,""),ROW()-322)),"")</f>
        <v>https://www.comunidad.madrid/transparencia/entidades-locales</v>
      </c>
      <c r="D336" s="99" t="s">
        <v>91</v>
      </c>
      <c r="E336" s="79" t="str">
        <f t="shared" si="16"/>
        <v/>
      </c>
      <c r="F336" s="18"/>
      <c r="G336" s="18"/>
      <c r="H336" s="18"/>
      <c r="I336" s="18"/>
      <c r="J336" s="18"/>
      <c r="K336" s="183"/>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37:D357" si="17">IF(AND(B337&lt;&gt;"",C337&lt;&gt;""),"N/T","")</f>
        <v/>
      </c>
      <c r="E337" s="79" t="str">
        <f t="shared" si="16"/>
        <v/>
      </c>
      <c r="F337" s="18"/>
      <c r="G337" s="18"/>
      <c r="H337" s="18"/>
      <c r="I337" s="18"/>
      <c r="J337" s="18"/>
      <c r="K337" s="183"/>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3"/>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3"/>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3"/>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3"/>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3"/>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3"/>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3"/>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3"/>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3"/>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3"/>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3"/>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3"/>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3"/>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3"/>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3"/>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3"/>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3"/>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3"/>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3"/>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3"/>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3"/>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3"/>
      <c r="L359" s="18"/>
      <c r="M359" s="18"/>
      <c r="N359" s="18"/>
      <c r="O359" s="18"/>
      <c r="P359" s="18"/>
      <c r="Q359" s="18"/>
      <c r="R359" s="18"/>
      <c r="S359" s="18"/>
      <c r="T359" s="18"/>
      <c r="U359" s="18"/>
      <c r="V359" s="18"/>
      <c r="W359" s="18"/>
      <c r="X359" s="18"/>
      <c r="Y359" s="18"/>
    </row>
    <row r="360" spans="1:25" ht="29.25" customHeight="1">
      <c r="A360" s="172" t="s">
        <v>98</v>
      </c>
      <c r="B360" s="23" t="s">
        <v>90</v>
      </c>
      <c r="C360" s="24" t="s">
        <v>150</v>
      </c>
      <c r="D360" s="25" t="s">
        <v>100</v>
      </c>
      <c r="E360" s="93"/>
      <c r="K360" s="183"/>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https://www.comunidad.madrid/transparencia/</v>
      </c>
      <c r="D361" s="99" t="s">
        <v>103</v>
      </c>
      <c r="E361" s="79" t="str">
        <f t="shared" ref="E361:E395" si="18">IF(D361&lt;&gt;"",IF(AND(B361&lt;&gt;"",C361&lt;&gt;""),"","ERR"),"")</f>
        <v/>
      </c>
      <c r="F361" s="86" t="s">
        <v>101</v>
      </c>
      <c r="G361" s="87" t="s">
        <v>102</v>
      </c>
      <c r="H361" s="88" t="s">
        <v>103</v>
      </c>
      <c r="I361" s="89" t="s">
        <v>93</v>
      </c>
      <c r="J361" s="90" t="s">
        <v>91</v>
      </c>
      <c r="K361" s="178" t="s">
        <v>97</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Aviso legal</v>
      </c>
      <c r="C362" s="85" t="str" cm="1">
        <f t="array" ref="C362">IFERROR(INDEX('03.Muestra'!$F$8:$F$42,SMALL(IF("Página Web"='03.Muestra'!$D$8:$D$42,ROW('03.Muestra'!$F$8:$F$42)-MIN(ROW('03.Muestra'!$D$8:$D$42))+1,""),ROW()-360)),"")</f>
        <v>https://www.comunidad.madrid/transparencia/aviso-legal</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14</v>
      </c>
      <c r="I362" s="91">
        <f ca="1">COUNTIF($D361:INDIRECT("$D" &amp;  SUM(ROW()-1,'03.Muestra'!$D$45)-1),I361)</f>
        <v>0</v>
      </c>
      <c r="J362" s="91">
        <f ca="1">COUNTIF($D361:INDIRECT("$D" &amp;  SUM(ROW()-1,'03.Muestra'!$D$45)-1),J361)</f>
        <v>0</v>
      </c>
      <c r="K362" s="179">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Accesibilidad</v>
      </c>
      <c r="C363" s="85" t="str" cm="1">
        <f t="array" ref="C363">IFERROR(INDEX('03.Muestra'!$F$8:$F$42,SMALL(IF("Página Web"='03.Muestra'!$D$8:$D$42,ROW('03.Muestra'!$F$8:$F$42)-MIN(ROW('03.Muestra'!$D$8:$D$42))+1,""),ROW()-360)),"")</f>
        <v>https://www.comunidad.madrid/transparencia/declaracion-accesibilidad</v>
      </c>
      <c r="D363" s="99" t="s">
        <v>103</v>
      </c>
      <c r="E363" s="79" t="str">
        <f t="shared" si="18"/>
        <v/>
      </c>
      <c r="G363" s="18"/>
      <c r="H363" s="18"/>
      <c r="I363" s="18"/>
      <c r="J363" s="18"/>
      <c r="K363" s="183"/>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Tranparencia</v>
      </c>
      <c r="C364" s="85" t="str" cm="1">
        <f t="array" ref="C364">IFERROR(INDEX('03.Muestra'!$F$8:$F$42,SMALL(IF("Página Web"='03.Muestra'!$D$8:$D$42,ROW('03.Muestra'!$F$8:$F$42)-MIN(ROW('03.Muestra'!$D$8:$D$42))+1,""),ROW()-360)),"")</f>
        <v>https://www.comunidad.madrid/transparencia/que-es-transparencia</v>
      </c>
      <c r="D364" s="99" t="s">
        <v>103</v>
      </c>
      <c r="E364" s="79" t="str">
        <f t="shared" si="18"/>
        <v/>
      </c>
      <c r="G364" s="18"/>
      <c r="H364" s="18"/>
      <c r="I364" s="18"/>
      <c r="J364" s="18"/>
      <c r="K364" s="183"/>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Organización</v>
      </c>
      <c r="C365" s="85" t="str" cm="1">
        <f t="array" ref="C365">IFERROR(INDEX('03.Muestra'!$F$8:$F$42,SMALL(IF("Página Web"='03.Muestra'!$D$8:$D$42,ROW('03.Muestra'!$F$8:$F$42)-MIN(ROW('03.Muestra'!$D$8:$D$42))+1,""),ROW()-360)),"")</f>
        <v>https://www.comunidad.madrid/transparencia/organizacion-recursos/organizacion</v>
      </c>
      <c r="D365" s="99" t="s">
        <v>103</v>
      </c>
      <c r="E365" s="79" t="str">
        <f t="shared" si="18"/>
        <v/>
      </c>
      <c r="G365" s="18"/>
      <c r="H365" s="18"/>
      <c r="I365" s="18"/>
      <c r="J365" s="18"/>
      <c r="K365" s="183"/>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Quejas</v>
      </c>
      <c r="C366" s="85" t="str" cm="1">
        <f t="array" ref="C366">IFERROR(INDEX('03.Muestra'!$F$8:$F$42,SMALL(IF("Página Web"='03.Muestra'!$D$8:$D$42,ROW('03.Muestra'!$F$8:$F$42)-MIN(ROW('03.Muestra'!$D$8:$D$42))+1,""),ROW()-360)),"")</f>
        <v>https://www.comunidad.madrid/transparencia/quejas-y-reclamaciones</v>
      </c>
      <c r="D366" s="99" t="s">
        <v>103</v>
      </c>
      <c r="E366" s="79" t="str">
        <f t="shared" si="18"/>
        <v/>
      </c>
      <c r="G366" s="18"/>
      <c r="H366" s="18"/>
      <c r="I366" s="18"/>
      <c r="J366" s="18"/>
      <c r="K366" s="183"/>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Contratos</v>
      </c>
      <c r="C367" s="85" t="str" cm="1">
        <f t="array" ref="C367">IFERROR(INDEX('03.Muestra'!$F$8:$F$42,SMALL(IF("Página Web"='03.Muestra'!$D$8:$D$42,ROW('03.Muestra'!$F$8:$F$42)-MIN(ROW('03.Muestra'!$D$8:$D$42))+1,""),ROW()-360)),"")</f>
        <v>https://www.comunidad.madrid/transparencia/contratos</v>
      </c>
      <c r="D367" s="99" t="s">
        <v>103</v>
      </c>
      <c r="E367" s="79" t="str">
        <f t="shared" si="18"/>
        <v/>
      </c>
      <c r="F367" s="18"/>
      <c r="G367" s="18"/>
      <c r="H367" s="18"/>
      <c r="I367" s="18"/>
      <c r="J367" s="18"/>
      <c r="K367" s="183"/>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Consulta</v>
      </c>
      <c r="C368" s="85" t="str" cm="1">
        <f t="array" ref="C368">IFERROR(INDEX('03.Muestra'!$F$8:$F$42,SMALL(IF("Página Web"='03.Muestra'!$D$8:$D$42,ROW('03.Muestra'!$F$8:$F$42)-MIN(ROW('03.Muestra'!$D$8:$D$42))+1,""),ROW()-360)),"")</f>
        <v>https://www.comunidad.madrid/transparencia/normativa-planificacion/consulta-publica</v>
      </c>
      <c r="D368" s="99" t="s">
        <v>103</v>
      </c>
      <c r="E368" s="79" t="str">
        <f t="shared" si="18"/>
        <v/>
      </c>
      <c r="F368" s="18"/>
      <c r="G368" s="18"/>
      <c r="H368" s="18"/>
      <c r="I368" s="18"/>
      <c r="J368" s="18"/>
      <c r="K368" s="183"/>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Proyecto</v>
      </c>
      <c r="C369" s="85" t="str" cm="1">
        <f t="array" ref="C369">IFERROR(INDEX('03.Muestra'!$F$8:$F$42,SMALL(IF("Página Web"='03.Muestra'!$D$8:$D$42,ROW('03.Muestra'!$F$8:$F$42)-MIN(ROW('03.Muestra'!$D$8:$D$42))+1,""),ROW()-360)),"")</f>
        <v>https://www.comunidad.madrid/transparencia/proyecto-orden-que-se-crea-comision-farmacia-y-productos-sanitarios-cm-y-se-establece-su-composicion</v>
      </c>
      <c r="D369" s="99" t="s">
        <v>103</v>
      </c>
      <c r="E369" s="79" t="str">
        <f t="shared" si="18"/>
        <v/>
      </c>
      <c r="F369" s="18"/>
      <c r="G369" s="18"/>
      <c r="H369" s="18"/>
      <c r="I369" s="18"/>
      <c r="J369" s="18"/>
      <c r="K369" s="183"/>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Planes y Programas</v>
      </c>
      <c r="C370" s="85" t="str" cm="1">
        <f t="array" ref="C370">IFERROR(INDEX('03.Muestra'!$F$8:$F$42,SMALL(IF("Página Web"='03.Muestra'!$D$8:$D$42,ROW('03.Muestra'!$F$8:$F$42)-MIN(ROW('03.Muestra'!$D$8:$D$42))+1,""),ROW()-360)),"")</f>
        <v>https://www.comunidad.madrid/transparencia/normativa-planificacion/planes-programas</v>
      </c>
      <c r="D370" s="99" t="s">
        <v>103</v>
      </c>
      <c r="E370" s="79" t="str">
        <f t="shared" si="18"/>
        <v/>
      </c>
      <c r="F370" s="18"/>
      <c r="G370" s="18"/>
      <c r="H370" s="18"/>
      <c r="I370" s="18"/>
      <c r="J370" s="18"/>
      <c r="K370" s="183"/>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Estrategia</v>
      </c>
      <c r="C371" s="85" t="str" cm="1">
        <f t="array" ref="C371">IFERROR(INDEX('03.Muestra'!$F$8:$F$42,SMALL(IF("Página Web"='03.Muestra'!$D$8:$D$42,ROW('03.Muestra'!$F$8:$F$42)-MIN(ROW('03.Muestra'!$D$8:$D$42))+1,""),ROW()-360)),"")</f>
        <v>https://www.comunidad.madrid/transparencia/informacion-institucional/planes-programas/estrategia-seguridad-del-paciente-del-servicio-madrileno</v>
      </c>
      <c r="D371" s="99" t="s">
        <v>103</v>
      </c>
      <c r="E371" s="79" t="str">
        <f t="shared" si="18"/>
        <v/>
      </c>
      <c r="F371" s="18"/>
      <c r="G371" s="18"/>
      <c r="H371" s="18"/>
      <c r="I371" s="18"/>
      <c r="J371" s="18"/>
      <c r="K371" s="183"/>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Huella</v>
      </c>
      <c r="C372" s="85" t="str" cm="1">
        <f t="array" ref="C372">IFERROR(INDEX('03.Muestra'!$F$8:$F$42,SMALL(IF("Página Web"='03.Muestra'!$D$8:$D$42,ROW('03.Muestra'!$F$8:$F$42)-MIN(ROW('03.Muestra'!$D$8:$D$42))+1,""),ROW()-360)),"")</f>
        <v>https://www.comunidad.madrid/transparencia/normativa-planificacion/huella-normativa</v>
      </c>
      <c r="D372" s="99" t="s">
        <v>103</v>
      </c>
      <c r="E372" s="79" t="str">
        <f t="shared" si="18"/>
        <v/>
      </c>
      <c r="F372" s="18"/>
      <c r="G372" s="18"/>
      <c r="H372" s="18"/>
      <c r="I372" s="18"/>
      <c r="J372" s="18"/>
      <c r="K372" s="183"/>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Decreto</v>
      </c>
      <c r="C373" s="85" t="str" cm="1">
        <f t="array" ref="C373">IFERROR(INDEX('03.Muestra'!$F$8:$F$42,SMALL(IF("Página Web"='03.Muestra'!$D$8:$D$42,ROW('03.Muestra'!$F$8:$F$42)-MIN(ROW('03.Muestra'!$D$8:$D$42))+1,""),ROW()-360)),"")</f>
        <v>https://www.comunidad.madrid/transparencia/decreto-del-consejo-gobierno-que-se-establece-estructura-organica-consejeria-familia-juventud-y</v>
      </c>
      <c r="D373" s="99" t="s">
        <v>103</v>
      </c>
      <c r="E373" s="79" t="str">
        <f t="shared" si="18"/>
        <v/>
      </c>
      <c r="F373" s="18"/>
      <c r="G373" s="18"/>
      <c r="H373" s="18"/>
      <c r="I373" s="18"/>
      <c r="J373" s="18"/>
      <c r="K373" s="183"/>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Entidades Locales</v>
      </c>
      <c r="C374" s="85" t="str" cm="1">
        <f t="array" ref="C374">IFERROR(INDEX('03.Muestra'!$F$8:$F$42,SMALL(IF("Página Web"='03.Muestra'!$D$8:$D$42,ROW('03.Muestra'!$F$8:$F$42)-MIN(ROW('03.Muestra'!$D$8:$D$42))+1,""),ROW()-360)),"")</f>
        <v>https://www.comunidad.madrid/transparencia/entidades-locales</v>
      </c>
      <c r="D374" s="99" t="s">
        <v>103</v>
      </c>
      <c r="E374" s="79" t="str">
        <f t="shared" si="18"/>
        <v/>
      </c>
      <c r="F374" s="18"/>
      <c r="G374" s="18"/>
      <c r="H374" s="18"/>
      <c r="I374" s="18"/>
      <c r="J374" s="18"/>
      <c r="K374" s="183"/>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ref="D375:D395" si="19">IF(AND(B375&lt;&gt;"",C375&lt;&gt;""),"N/T","")</f>
        <v/>
      </c>
      <c r="E375" s="79" t="str">
        <f t="shared" si="18"/>
        <v/>
      </c>
      <c r="F375" s="18"/>
      <c r="G375" s="18"/>
      <c r="H375" s="18"/>
      <c r="I375" s="18"/>
      <c r="J375" s="18"/>
      <c r="K375" s="183"/>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3"/>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3"/>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3"/>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3"/>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3"/>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3"/>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3"/>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3"/>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3"/>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3"/>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3"/>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3"/>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3"/>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3"/>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3"/>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3"/>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3"/>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3"/>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3"/>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3"/>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3"/>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3"/>
      <c r="L397" s="18"/>
      <c r="M397" s="18"/>
      <c r="N397" s="18"/>
      <c r="O397" s="18"/>
      <c r="P397" s="18"/>
      <c r="Q397" s="18"/>
      <c r="R397" s="18"/>
      <c r="S397" s="18"/>
      <c r="T397" s="18"/>
      <c r="U397" s="18"/>
      <c r="V397" s="18"/>
      <c r="W397" s="18"/>
      <c r="X397" s="18"/>
      <c r="Y397" s="18"/>
    </row>
    <row r="398" spans="1:25" ht="29.25" customHeight="1">
      <c r="A398" s="172" t="s">
        <v>98</v>
      </c>
      <c r="B398" s="23" t="s">
        <v>90</v>
      </c>
      <c r="C398" s="24" t="s">
        <v>151</v>
      </c>
      <c r="D398" s="25" t="s">
        <v>100</v>
      </c>
      <c r="E398" s="93"/>
      <c r="K398" s="183"/>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https://www.comunidad.madrid/transparencia/</v>
      </c>
      <c r="D399" s="99" t="s">
        <v>103</v>
      </c>
      <c r="E399" s="79" t="str">
        <f t="shared" ref="E399:E433" si="20">IF(D399&lt;&gt;"",IF(AND(B399&lt;&gt;"",C399&lt;&gt;""),"","ERR"),"")</f>
        <v/>
      </c>
      <c r="F399" s="86" t="s">
        <v>101</v>
      </c>
      <c r="G399" s="87" t="s">
        <v>102</v>
      </c>
      <c r="H399" s="88" t="s">
        <v>103</v>
      </c>
      <c r="I399" s="89" t="s">
        <v>93</v>
      </c>
      <c r="J399" s="90" t="s">
        <v>91</v>
      </c>
      <c r="K399" s="178" t="s">
        <v>97</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Aviso legal</v>
      </c>
      <c r="C400" s="85" t="str" cm="1">
        <f t="array" ref="C400">IFERROR(INDEX('03.Muestra'!$F$8:$F$42,SMALL(IF("Página Web"='03.Muestra'!$D$8:$D$42,ROW('03.Muestra'!$F$8:$F$42)-MIN(ROW('03.Muestra'!$D$8:$D$42))+1,""),ROW()-398)),"")</f>
        <v>https://www.comunidad.madrid/transparencia/aviso-legal</v>
      </c>
      <c r="D400" s="99" t="s">
        <v>103</v>
      </c>
      <c r="E400" s="79" t="str">
        <f t="shared" si="20"/>
        <v/>
      </c>
      <c r="F400" s="91">
        <f ca="1">COUNTIF($D399:INDIRECT("$D" &amp;  SUM(ROW()-1,'03.Muestra'!$D$45)-1),F399)</f>
        <v>0</v>
      </c>
      <c r="G400" s="91">
        <f ca="1">COUNTIF($D399:INDIRECT("$D" &amp;  SUM(ROW()-1,'03.Muestra'!$D$45)-1),G399)</f>
        <v>0</v>
      </c>
      <c r="H400" s="91">
        <f ca="1">COUNTIF($D399:INDIRECT("$D" &amp;  SUM(ROW()-1,'03.Muestra'!$D$45)-1),H399)</f>
        <v>14</v>
      </c>
      <c r="I400" s="91">
        <f ca="1">COUNTIF($D399:INDIRECT("$D" &amp;  SUM(ROW()-1,'03.Muestra'!$D$45)-1),I399)</f>
        <v>0</v>
      </c>
      <c r="J400" s="91">
        <f ca="1">COUNTIF($D399:INDIRECT("$D" &amp;  SUM(ROW()-1,'03.Muestra'!$D$45)-1),J399)</f>
        <v>0</v>
      </c>
      <c r="K400" s="179">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Accesibilidad</v>
      </c>
      <c r="C401" s="85" t="str" cm="1">
        <f t="array" ref="C401">IFERROR(INDEX('03.Muestra'!$F$8:$F$42,SMALL(IF("Página Web"='03.Muestra'!$D$8:$D$42,ROW('03.Muestra'!$F$8:$F$42)-MIN(ROW('03.Muestra'!$D$8:$D$42))+1,""),ROW()-398)),"")</f>
        <v>https://www.comunidad.madrid/transparencia/declaracion-accesibilidad</v>
      </c>
      <c r="D401" s="99" t="s">
        <v>103</v>
      </c>
      <c r="E401" s="79" t="str">
        <f t="shared" si="20"/>
        <v/>
      </c>
      <c r="G401" s="18"/>
      <c r="H401" s="18"/>
      <c r="I401" s="18"/>
      <c r="J401" s="18"/>
      <c r="K401" s="183"/>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Tranparencia</v>
      </c>
      <c r="C402" s="85" t="str" cm="1">
        <f t="array" ref="C402">IFERROR(INDEX('03.Muestra'!$F$8:$F$42,SMALL(IF("Página Web"='03.Muestra'!$D$8:$D$42,ROW('03.Muestra'!$F$8:$F$42)-MIN(ROW('03.Muestra'!$D$8:$D$42))+1,""),ROW()-398)),"")</f>
        <v>https://www.comunidad.madrid/transparencia/que-es-transparencia</v>
      </c>
      <c r="D402" s="99" t="s">
        <v>103</v>
      </c>
      <c r="E402" s="79" t="str">
        <f t="shared" si="20"/>
        <v/>
      </c>
      <c r="G402" s="18"/>
      <c r="H402" s="18"/>
      <c r="I402" s="18"/>
      <c r="J402" s="18"/>
      <c r="K402" s="183"/>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Organización</v>
      </c>
      <c r="C403" s="85" t="str" cm="1">
        <f t="array" ref="C403">IFERROR(INDEX('03.Muestra'!$F$8:$F$42,SMALL(IF("Página Web"='03.Muestra'!$D$8:$D$42,ROW('03.Muestra'!$F$8:$F$42)-MIN(ROW('03.Muestra'!$D$8:$D$42))+1,""),ROW()-398)),"")</f>
        <v>https://www.comunidad.madrid/transparencia/organizacion-recursos/organizacion</v>
      </c>
      <c r="D403" s="99" t="s">
        <v>103</v>
      </c>
      <c r="E403" s="79" t="str">
        <f t="shared" si="20"/>
        <v/>
      </c>
      <c r="G403" s="18"/>
      <c r="H403" s="18"/>
      <c r="I403" s="18"/>
      <c r="J403" s="18"/>
      <c r="K403" s="183"/>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Quejas</v>
      </c>
      <c r="C404" s="85" t="str" cm="1">
        <f t="array" ref="C404">IFERROR(INDEX('03.Muestra'!$F$8:$F$42,SMALL(IF("Página Web"='03.Muestra'!$D$8:$D$42,ROW('03.Muestra'!$F$8:$F$42)-MIN(ROW('03.Muestra'!$D$8:$D$42))+1,""),ROW()-398)),"")</f>
        <v>https://www.comunidad.madrid/transparencia/quejas-y-reclamaciones</v>
      </c>
      <c r="D404" s="99" t="s">
        <v>103</v>
      </c>
      <c r="E404" s="79" t="str">
        <f t="shared" si="20"/>
        <v/>
      </c>
      <c r="G404" s="18"/>
      <c r="H404" s="18"/>
      <c r="I404" s="18"/>
      <c r="J404" s="18"/>
      <c r="K404" s="183"/>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Contratos</v>
      </c>
      <c r="C405" s="85" t="str" cm="1">
        <f t="array" ref="C405">IFERROR(INDEX('03.Muestra'!$F$8:$F$42,SMALL(IF("Página Web"='03.Muestra'!$D$8:$D$42,ROW('03.Muestra'!$F$8:$F$42)-MIN(ROW('03.Muestra'!$D$8:$D$42))+1,""),ROW()-398)),"")</f>
        <v>https://www.comunidad.madrid/transparencia/contratos</v>
      </c>
      <c r="D405" s="99" t="s">
        <v>103</v>
      </c>
      <c r="E405" s="79" t="str">
        <f t="shared" si="20"/>
        <v/>
      </c>
      <c r="F405" s="18"/>
      <c r="G405" s="18"/>
      <c r="H405" s="18"/>
      <c r="I405" s="18"/>
      <c r="J405" s="18"/>
      <c r="K405" s="183"/>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Consulta</v>
      </c>
      <c r="C406" s="85" t="str" cm="1">
        <f t="array" ref="C406">IFERROR(INDEX('03.Muestra'!$F$8:$F$42,SMALL(IF("Página Web"='03.Muestra'!$D$8:$D$42,ROW('03.Muestra'!$F$8:$F$42)-MIN(ROW('03.Muestra'!$D$8:$D$42))+1,""),ROW()-398)),"")</f>
        <v>https://www.comunidad.madrid/transparencia/normativa-planificacion/consulta-publica</v>
      </c>
      <c r="D406" s="99" t="s">
        <v>103</v>
      </c>
      <c r="E406" s="79" t="str">
        <f t="shared" si="20"/>
        <v/>
      </c>
      <c r="F406" s="18"/>
      <c r="G406" s="18"/>
      <c r="H406" s="18"/>
      <c r="I406" s="18"/>
      <c r="J406" s="18"/>
      <c r="K406" s="183"/>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Proyecto</v>
      </c>
      <c r="C407" s="85" t="str" cm="1">
        <f t="array" ref="C407">IFERROR(INDEX('03.Muestra'!$F$8:$F$42,SMALL(IF("Página Web"='03.Muestra'!$D$8:$D$42,ROW('03.Muestra'!$F$8:$F$42)-MIN(ROW('03.Muestra'!$D$8:$D$42))+1,""),ROW()-398)),"")</f>
        <v>https://www.comunidad.madrid/transparencia/proyecto-orden-que-se-crea-comision-farmacia-y-productos-sanitarios-cm-y-se-establece-su-composicion</v>
      </c>
      <c r="D407" s="99" t="s">
        <v>103</v>
      </c>
      <c r="E407" s="79" t="str">
        <f t="shared" si="20"/>
        <v/>
      </c>
      <c r="F407" s="18"/>
      <c r="G407" s="18"/>
      <c r="H407" s="18"/>
      <c r="I407" s="18"/>
      <c r="J407" s="18"/>
      <c r="K407" s="183"/>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Planes y Programas</v>
      </c>
      <c r="C408" s="85" t="str" cm="1">
        <f t="array" ref="C408">IFERROR(INDEX('03.Muestra'!$F$8:$F$42,SMALL(IF("Página Web"='03.Muestra'!$D$8:$D$42,ROW('03.Muestra'!$F$8:$F$42)-MIN(ROW('03.Muestra'!$D$8:$D$42))+1,""),ROW()-398)),"")</f>
        <v>https://www.comunidad.madrid/transparencia/normativa-planificacion/planes-programas</v>
      </c>
      <c r="D408" s="99" t="s">
        <v>103</v>
      </c>
      <c r="E408" s="79" t="str">
        <f t="shared" si="20"/>
        <v/>
      </c>
      <c r="F408" s="18"/>
      <c r="G408" s="18"/>
      <c r="H408" s="18"/>
      <c r="I408" s="18"/>
      <c r="J408" s="18"/>
      <c r="K408" s="183"/>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Estrategia</v>
      </c>
      <c r="C409" s="85" t="str" cm="1">
        <f t="array" ref="C409">IFERROR(INDEX('03.Muestra'!$F$8:$F$42,SMALL(IF("Página Web"='03.Muestra'!$D$8:$D$42,ROW('03.Muestra'!$F$8:$F$42)-MIN(ROW('03.Muestra'!$D$8:$D$42))+1,""),ROW()-398)),"")</f>
        <v>https://www.comunidad.madrid/transparencia/informacion-institucional/planes-programas/estrategia-seguridad-del-paciente-del-servicio-madrileno</v>
      </c>
      <c r="D409" s="99" t="s">
        <v>103</v>
      </c>
      <c r="E409" s="79" t="str">
        <f t="shared" si="20"/>
        <v/>
      </c>
      <c r="F409" s="18"/>
      <c r="G409" s="18"/>
      <c r="H409" s="18"/>
      <c r="I409" s="18"/>
      <c r="J409" s="18"/>
      <c r="K409" s="183"/>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Huella</v>
      </c>
      <c r="C410" s="85" t="str" cm="1">
        <f t="array" ref="C410">IFERROR(INDEX('03.Muestra'!$F$8:$F$42,SMALL(IF("Página Web"='03.Muestra'!$D$8:$D$42,ROW('03.Muestra'!$F$8:$F$42)-MIN(ROW('03.Muestra'!$D$8:$D$42))+1,""),ROW()-398)),"")</f>
        <v>https://www.comunidad.madrid/transparencia/normativa-planificacion/huella-normativa</v>
      </c>
      <c r="D410" s="99" t="s">
        <v>103</v>
      </c>
      <c r="E410" s="79" t="str">
        <f t="shared" si="20"/>
        <v/>
      </c>
      <c r="F410" s="18"/>
      <c r="G410" s="18"/>
      <c r="H410" s="18"/>
      <c r="I410" s="18"/>
      <c r="J410" s="18"/>
      <c r="K410" s="183"/>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Decreto</v>
      </c>
      <c r="C411" s="85" t="str" cm="1">
        <f t="array" ref="C411">IFERROR(INDEX('03.Muestra'!$F$8:$F$42,SMALL(IF("Página Web"='03.Muestra'!$D$8:$D$42,ROW('03.Muestra'!$F$8:$F$42)-MIN(ROW('03.Muestra'!$D$8:$D$42))+1,""),ROW()-398)),"")</f>
        <v>https://www.comunidad.madrid/transparencia/decreto-del-consejo-gobierno-que-se-establece-estructura-organica-consejeria-familia-juventud-y</v>
      </c>
      <c r="D411" s="99" t="s">
        <v>103</v>
      </c>
      <c r="E411" s="79" t="str">
        <f t="shared" si="20"/>
        <v/>
      </c>
      <c r="F411" s="18"/>
      <c r="G411" s="18"/>
      <c r="H411" s="18"/>
      <c r="I411" s="18"/>
      <c r="J411" s="18"/>
      <c r="K411" s="183"/>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Entidades Locales</v>
      </c>
      <c r="C412" s="85" t="str" cm="1">
        <f t="array" ref="C412">IFERROR(INDEX('03.Muestra'!$F$8:$F$42,SMALL(IF("Página Web"='03.Muestra'!$D$8:$D$42,ROW('03.Muestra'!$F$8:$F$42)-MIN(ROW('03.Muestra'!$D$8:$D$42))+1,""),ROW()-398)),"")</f>
        <v>https://www.comunidad.madrid/transparencia/entidades-locales</v>
      </c>
      <c r="D412" s="99" t="s">
        <v>103</v>
      </c>
      <c r="E412" s="79" t="str">
        <f t="shared" si="20"/>
        <v/>
      </c>
      <c r="F412" s="18"/>
      <c r="G412" s="18"/>
      <c r="H412" s="18"/>
      <c r="I412" s="18"/>
      <c r="J412" s="18"/>
      <c r="K412" s="183"/>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ref="D413:D433" si="21">IF(AND(B413&lt;&gt;"",C413&lt;&gt;""),"N/T","")</f>
        <v/>
      </c>
      <c r="E413" s="79" t="str">
        <f t="shared" si="20"/>
        <v/>
      </c>
      <c r="F413" s="18"/>
      <c r="G413" s="18"/>
      <c r="H413" s="18"/>
      <c r="I413" s="18"/>
      <c r="J413" s="18"/>
      <c r="K413" s="183"/>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3"/>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3"/>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3"/>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3"/>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3"/>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3"/>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3"/>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3"/>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3"/>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3"/>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3"/>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3"/>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3"/>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3"/>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3"/>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3"/>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3"/>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3"/>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3"/>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3"/>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3"/>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3"/>
      <c r="L435" s="18"/>
      <c r="M435" s="18"/>
      <c r="N435" s="18"/>
      <c r="O435" s="18"/>
      <c r="P435" s="18"/>
      <c r="Q435" s="18"/>
      <c r="R435" s="18"/>
      <c r="S435" s="18"/>
      <c r="T435" s="18"/>
      <c r="U435" s="18"/>
      <c r="V435" s="18"/>
      <c r="W435" s="18"/>
      <c r="X435" s="18"/>
      <c r="Y435" s="18"/>
    </row>
    <row r="436" spans="1:25" ht="29.25" customHeight="1">
      <c r="A436" s="172" t="s">
        <v>98</v>
      </c>
      <c r="B436" s="23" t="s">
        <v>90</v>
      </c>
      <c r="C436" s="24" t="s">
        <v>152</v>
      </c>
      <c r="D436" s="25" t="s">
        <v>100</v>
      </c>
      <c r="E436" s="93"/>
      <c r="K436" s="183"/>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https://www.comunidad.madrid/transparencia/</v>
      </c>
      <c r="D437" s="99" t="s">
        <v>103</v>
      </c>
      <c r="E437" s="79" t="str">
        <f t="shared" ref="E437:E471" si="22">IF(D437&lt;&gt;"",IF(AND(B437&lt;&gt;"",C437&lt;&gt;""),"","ERR"),"")</f>
        <v/>
      </c>
      <c r="F437" s="86" t="s">
        <v>101</v>
      </c>
      <c r="G437" s="87" t="s">
        <v>102</v>
      </c>
      <c r="H437" s="88" t="s">
        <v>103</v>
      </c>
      <c r="I437" s="89" t="s">
        <v>93</v>
      </c>
      <c r="J437" s="90" t="s">
        <v>91</v>
      </c>
      <c r="K437" s="178"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Aviso legal</v>
      </c>
      <c r="C438" s="85" t="str" cm="1">
        <f t="array" ref="C438">IFERROR(INDEX('03.Muestra'!$F$8:$F$42,SMALL(IF("Página Web"='03.Muestra'!$D$8:$D$42,ROW('03.Muestra'!$F$8:$F$42)-MIN(ROW('03.Muestra'!$D$8:$D$42))+1,""),ROW()-436)),"")</f>
        <v>https://www.comunidad.madrid/transparencia/aviso-legal</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14</v>
      </c>
      <c r="I438" s="91">
        <f ca="1">COUNTIF($D437:INDIRECT("$D" &amp;  SUM(ROW()-1,'03.Muestra'!$D$45)-1),I437)</f>
        <v>0</v>
      </c>
      <c r="J438" s="91">
        <f ca="1">COUNTIF($D437:INDIRECT("$D" &amp;  SUM(ROW()-1,'03.Muestra'!$D$45)-1),J437)</f>
        <v>0</v>
      </c>
      <c r="K438" s="179">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Accesibilidad</v>
      </c>
      <c r="C439" s="85" t="str" cm="1">
        <f t="array" ref="C439">IFERROR(INDEX('03.Muestra'!$F$8:$F$42,SMALL(IF("Página Web"='03.Muestra'!$D$8:$D$42,ROW('03.Muestra'!$F$8:$F$42)-MIN(ROW('03.Muestra'!$D$8:$D$42))+1,""),ROW()-436)),"")</f>
        <v>https://www.comunidad.madrid/transparencia/declaracion-accesibilidad</v>
      </c>
      <c r="D439" s="99" t="s">
        <v>103</v>
      </c>
      <c r="E439" s="79" t="str">
        <f t="shared" si="22"/>
        <v/>
      </c>
      <c r="G439" s="18"/>
      <c r="H439" s="18"/>
      <c r="I439" s="18"/>
      <c r="J439" s="18"/>
      <c r="K439" s="183"/>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Tranparencia</v>
      </c>
      <c r="C440" s="85" t="str" cm="1">
        <f t="array" ref="C440">IFERROR(INDEX('03.Muestra'!$F$8:$F$42,SMALL(IF("Página Web"='03.Muestra'!$D$8:$D$42,ROW('03.Muestra'!$F$8:$F$42)-MIN(ROW('03.Muestra'!$D$8:$D$42))+1,""),ROW()-436)),"")</f>
        <v>https://www.comunidad.madrid/transparencia/que-es-transparencia</v>
      </c>
      <c r="D440" s="99" t="s">
        <v>103</v>
      </c>
      <c r="E440" s="79" t="str">
        <f t="shared" si="22"/>
        <v/>
      </c>
      <c r="G440" s="18"/>
      <c r="H440" s="18"/>
      <c r="I440" s="18"/>
      <c r="J440" s="18"/>
      <c r="K440" s="183"/>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Organización</v>
      </c>
      <c r="C441" s="85" t="str" cm="1">
        <f t="array" ref="C441">IFERROR(INDEX('03.Muestra'!$F$8:$F$42,SMALL(IF("Página Web"='03.Muestra'!$D$8:$D$42,ROW('03.Muestra'!$F$8:$F$42)-MIN(ROW('03.Muestra'!$D$8:$D$42))+1,""),ROW()-436)),"")</f>
        <v>https://www.comunidad.madrid/transparencia/organizacion-recursos/organizacion</v>
      </c>
      <c r="D441" s="99" t="s">
        <v>103</v>
      </c>
      <c r="E441" s="79" t="str">
        <f t="shared" si="22"/>
        <v/>
      </c>
      <c r="G441" s="18"/>
      <c r="H441" s="18"/>
      <c r="I441" s="18"/>
      <c r="J441" s="18"/>
      <c r="K441" s="183"/>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Quejas</v>
      </c>
      <c r="C442" s="85" t="str" cm="1">
        <f t="array" ref="C442">IFERROR(INDEX('03.Muestra'!$F$8:$F$42,SMALL(IF("Página Web"='03.Muestra'!$D$8:$D$42,ROW('03.Muestra'!$F$8:$F$42)-MIN(ROW('03.Muestra'!$D$8:$D$42))+1,""),ROW()-436)),"")</f>
        <v>https://www.comunidad.madrid/transparencia/quejas-y-reclamaciones</v>
      </c>
      <c r="D442" s="99" t="s">
        <v>103</v>
      </c>
      <c r="E442" s="79" t="str">
        <f t="shared" si="22"/>
        <v/>
      </c>
      <c r="G442" s="18"/>
      <c r="H442" s="18"/>
      <c r="I442" s="18"/>
      <c r="J442" s="18"/>
      <c r="K442" s="183"/>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Contratos</v>
      </c>
      <c r="C443" s="85" t="str" cm="1">
        <f t="array" ref="C443">IFERROR(INDEX('03.Muestra'!$F$8:$F$42,SMALL(IF("Página Web"='03.Muestra'!$D$8:$D$42,ROW('03.Muestra'!$F$8:$F$42)-MIN(ROW('03.Muestra'!$D$8:$D$42))+1,""),ROW()-436)),"")</f>
        <v>https://www.comunidad.madrid/transparencia/contratos</v>
      </c>
      <c r="D443" s="99" t="s">
        <v>103</v>
      </c>
      <c r="E443" s="79" t="str">
        <f t="shared" si="22"/>
        <v/>
      </c>
      <c r="F443" s="18"/>
      <c r="G443" s="18"/>
      <c r="H443" s="18"/>
      <c r="I443" s="18"/>
      <c r="J443" s="18"/>
      <c r="K443" s="183"/>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Consulta</v>
      </c>
      <c r="C444" s="85" t="str" cm="1">
        <f t="array" ref="C444">IFERROR(INDEX('03.Muestra'!$F$8:$F$42,SMALL(IF("Página Web"='03.Muestra'!$D$8:$D$42,ROW('03.Muestra'!$F$8:$F$42)-MIN(ROW('03.Muestra'!$D$8:$D$42))+1,""),ROW()-436)),"")</f>
        <v>https://www.comunidad.madrid/transparencia/normativa-planificacion/consulta-publica</v>
      </c>
      <c r="D444" s="99" t="s">
        <v>103</v>
      </c>
      <c r="E444" s="79" t="str">
        <f t="shared" si="22"/>
        <v/>
      </c>
      <c r="F444" s="18"/>
      <c r="G444" s="18"/>
      <c r="H444" s="18"/>
      <c r="I444" s="18"/>
      <c r="J444" s="18"/>
      <c r="K444" s="183"/>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Proyecto</v>
      </c>
      <c r="C445" s="85" t="str" cm="1">
        <f t="array" ref="C445">IFERROR(INDEX('03.Muestra'!$F$8:$F$42,SMALL(IF("Página Web"='03.Muestra'!$D$8:$D$42,ROW('03.Muestra'!$F$8:$F$42)-MIN(ROW('03.Muestra'!$D$8:$D$42))+1,""),ROW()-436)),"")</f>
        <v>https://www.comunidad.madrid/transparencia/proyecto-orden-que-se-crea-comision-farmacia-y-productos-sanitarios-cm-y-se-establece-su-composicion</v>
      </c>
      <c r="D445" s="99" t="s">
        <v>103</v>
      </c>
      <c r="E445" s="79" t="str">
        <f t="shared" si="22"/>
        <v/>
      </c>
      <c r="F445" s="18"/>
      <c r="G445" s="18"/>
      <c r="H445" s="18"/>
      <c r="I445" s="18"/>
      <c r="J445" s="18"/>
      <c r="K445" s="183"/>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Planes y Programas</v>
      </c>
      <c r="C446" s="85" t="str" cm="1">
        <f t="array" ref="C446">IFERROR(INDEX('03.Muestra'!$F$8:$F$42,SMALL(IF("Página Web"='03.Muestra'!$D$8:$D$42,ROW('03.Muestra'!$F$8:$F$42)-MIN(ROW('03.Muestra'!$D$8:$D$42))+1,""),ROW()-436)),"")</f>
        <v>https://www.comunidad.madrid/transparencia/normativa-planificacion/planes-programas</v>
      </c>
      <c r="D446" s="99" t="s">
        <v>103</v>
      </c>
      <c r="E446" s="79" t="str">
        <f t="shared" si="22"/>
        <v/>
      </c>
      <c r="F446" s="18"/>
      <c r="G446" s="18"/>
      <c r="H446" s="18"/>
      <c r="I446" s="18"/>
      <c r="J446" s="18"/>
      <c r="K446" s="183"/>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Estrategia</v>
      </c>
      <c r="C447" s="85" t="str" cm="1">
        <f t="array" ref="C447">IFERROR(INDEX('03.Muestra'!$F$8:$F$42,SMALL(IF("Página Web"='03.Muestra'!$D$8:$D$42,ROW('03.Muestra'!$F$8:$F$42)-MIN(ROW('03.Muestra'!$D$8:$D$42))+1,""),ROW()-436)),"")</f>
        <v>https://www.comunidad.madrid/transparencia/informacion-institucional/planes-programas/estrategia-seguridad-del-paciente-del-servicio-madrileno</v>
      </c>
      <c r="D447" s="99" t="s">
        <v>103</v>
      </c>
      <c r="E447" s="79" t="str">
        <f t="shared" si="22"/>
        <v/>
      </c>
      <c r="F447" s="18"/>
      <c r="G447" s="18"/>
      <c r="H447" s="18"/>
      <c r="I447" s="18"/>
      <c r="J447" s="18"/>
      <c r="K447" s="183"/>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Huella</v>
      </c>
      <c r="C448" s="85" t="str" cm="1">
        <f t="array" ref="C448">IFERROR(INDEX('03.Muestra'!$F$8:$F$42,SMALL(IF("Página Web"='03.Muestra'!$D$8:$D$42,ROW('03.Muestra'!$F$8:$F$42)-MIN(ROW('03.Muestra'!$D$8:$D$42))+1,""),ROW()-436)),"")</f>
        <v>https://www.comunidad.madrid/transparencia/normativa-planificacion/huella-normativa</v>
      </c>
      <c r="D448" s="99" t="s">
        <v>103</v>
      </c>
      <c r="E448" s="79" t="str">
        <f t="shared" si="22"/>
        <v/>
      </c>
      <c r="F448" s="18"/>
      <c r="G448" s="18"/>
      <c r="H448" s="18"/>
      <c r="I448" s="18"/>
      <c r="J448" s="18"/>
      <c r="K448" s="183"/>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Decreto</v>
      </c>
      <c r="C449" s="85" t="str" cm="1">
        <f t="array" ref="C449">IFERROR(INDEX('03.Muestra'!$F$8:$F$42,SMALL(IF("Página Web"='03.Muestra'!$D$8:$D$42,ROW('03.Muestra'!$F$8:$F$42)-MIN(ROW('03.Muestra'!$D$8:$D$42))+1,""),ROW()-436)),"")</f>
        <v>https://www.comunidad.madrid/transparencia/decreto-del-consejo-gobierno-que-se-establece-estructura-organica-consejeria-familia-juventud-y</v>
      </c>
      <c r="D449" s="99" t="s">
        <v>103</v>
      </c>
      <c r="E449" s="79" t="str">
        <f t="shared" si="22"/>
        <v/>
      </c>
      <c r="F449" s="18"/>
      <c r="G449" s="18"/>
      <c r="H449" s="18"/>
      <c r="I449" s="18"/>
      <c r="J449" s="18"/>
      <c r="K449" s="183"/>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Entidades Locales</v>
      </c>
      <c r="C450" s="85" t="str" cm="1">
        <f t="array" ref="C450">IFERROR(INDEX('03.Muestra'!$F$8:$F$42,SMALL(IF("Página Web"='03.Muestra'!$D$8:$D$42,ROW('03.Muestra'!$F$8:$F$42)-MIN(ROW('03.Muestra'!$D$8:$D$42))+1,""),ROW()-436)),"")</f>
        <v>https://www.comunidad.madrid/transparencia/entidades-locales</v>
      </c>
      <c r="D450" s="99" t="s">
        <v>103</v>
      </c>
      <c r="E450" s="79" t="str">
        <f t="shared" si="22"/>
        <v/>
      </c>
      <c r="F450" s="18"/>
      <c r="G450" s="18"/>
      <c r="H450" s="18"/>
      <c r="I450" s="18"/>
      <c r="J450" s="18"/>
      <c r="K450" s="183"/>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ref="D451:D471" si="23">IF(AND(B451&lt;&gt;"",C451&lt;&gt;""),"N/T","")</f>
        <v/>
      </c>
      <c r="E451" s="79" t="str">
        <f t="shared" si="22"/>
        <v/>
      </c>
      <c r="F451" s="18"/>
      <c r="G451" s="18"/>
      <c r="H451" s="18"/>
      <c r="I451" s="18"/>
      <c r="J451" s="18"/>
      <c r="K451" s="183"/>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3"/>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3"/>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3"/>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3"/>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3"/>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3"/>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3"/>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3"/>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3"/>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3"/>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3"/>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3"/>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3"/>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3"/>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3"/>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3"/>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3"/>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3"/>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3"/>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3"/>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3"/>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3"/>
      <c r="L473" s="18"/>
      <c r="M473" s="18"/>
      <c r="N473" s="18"/>
      <c r="O473" s="18"/>
      <c r="P473" s="18"/>
      <c r="Q473" s="18"/>
      <c r="R473" s="18"/>
      <c r="S473" s="18"/>
      <c r="T473" s="18"/>
      <c r="U473" s="18"/>
      <c r="V473" s="18"/>
      <c r="W473" s="18"/>
      <c r="X473" s="18"/>
      <c r="Y473" s="18"/>
    </row>
    <row r="474" spans="1:25" ht="29.25" customHeight="1">
      <c r="A474" s="172" t="s">
        <v>98</v>
      </c>
      <c r="B474" s="23" t="s">
        <v>90</v>
      </c>
      <c r="C474" s="24" t="s">
        <v>153</v>
      </c>
      <c r="D474" s="25" t="s">
        <v>100</v>
      </c>
      <c r="E474" s="93"/>
      <c r="K474" s="183"/>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https://www.comunidad.madrid/transparencia/</v>
      </c>
      <c r="D475" s="99" t="s">
        <v>91</v>
      </c>
      <c r="E475" s="79" t="str">
        <f t="shared" ref="E475:E509" si="24">IF(D475&lt;&gt;"",IF(AND(B475&lt;&gt;"",C475&lt;&gt;""),"","ERR"),"")</f>
        <v/>
      </c>
      <c r="F475" s="86" t="s">
        <v>101</v>
      </c>
      <c r="G475" s="87" t="s">
        <v>102</v>
      </c>
      <c r="H475" s="88" t="s">
        <v>103</v>
      </c>
      <c r="I475" s="89" t="s">
        <v>93</v>
      </c>
      <c r="J475" s="90" t="s">
        <v>91</v>
      </c>
      <c r="K475" s="178"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Aviso legal</v>
      </c>
      <c r="C476" s="85" t="str" cm="1">
        <f t="array" ref="C476">IFERROR(INDEX('03.Muestra'!$F$8:$F$42,SMALL(IF("Página Web"='03.Muestra'!$D$8:$D$42,ROW('03.Muestra'!$F$8:$F$42)-MIN(ROW('03.Muestra'!$D$8:$D$42))+1,""),ROW()-474)),"")</f>
        <v>https://www.comunidad.madrid/transparencia/aviso-legal</v>
      </c>
      <c r="D476" s="99" t="s">
        <v>91</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14</v>
      </c>
      <c r="K476" s="179">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Accesibilidad</v>
      </c>
      <c r="C477" s="85" t="str" cm="1">
        <f t="array" ref="C477">IFERROR(INDEX('03.Muestra'!$F$8:$F$42,SMALL(IF("Página Web"='03.Muestra'!$D$8:$D$42,ROW('03.Muestra'!$F$8:$F$42)-MIN(ROW('03.Muestra'!$D$8:$D$42))+1,""),ROW()-474)),"")</f>
        <v>https://www.comunidad.madrid/transparencia/declaracion-accesibilidad</v>
      </c>
      <c r="D477" s="99" t="s">
        <v>91</v>
      </c>
      <c r="E477" s="79" t="str">
        <f t="shared" si="24"/>
        <v/>
      </c>
      <c r="G477" s="18"/>
      <c r="H477" s="18"/>
      <c r="I477" s="18"/>
      <c r="J477" s="18"/>
      <c r="K477" s="183"/>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Tranparencia</v>
      </c>
      <c r="C478" s="85" t="str" cm="1">
        <f t="array" ref="C478">IFERROR(INDEX('03.Muestra'!$F$8:$F$42,SMALL(IF("Página Web"='03.Muestra'!$D$8:$D$42,ROW('03.Muestra'!$F$8:$F$42)-MIN(ROW('03.Muestra'!$D$8:$D$42))+1,""),ROW()-474)),"")</f>
        <v>https://www.comunidad.madrid/transparencia/que-es-transparencia</v>
      </c>
      <c r="D478" s="99" t="s">
        <v>91</v>
      </c>
      <c r="E478" s="79" t="str">
        <f t="shared" si="24"/>
        <v/>
      </c>
      <c r="G478" s="18"/>
      <c r="H478" s="18"/>
      <c r="I478" s="18"/>
      <c r="J478" s="18"/>
      <c r="K478" s="183"/>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Organización</v>
      </c>
      <c r="C479" s="85" t="str" cm="1">
        <f t="array" ref="C479">IFERROR(INDEX('03.Muestra'!$F$8:$F$42,SMALL(IF("Página Web"='03.Muestra'!$D$8:$D$42,ROW('03.Muestra'!$F$8:$F$42)-MIN(ROW('03.Muestra'!$D$8:$D$42))+1,""),ROW()-474)),"")</f>
        <v>https://www.comunidad.madrid/transparencia/organizacion-recursos/organizacion</v>
      </c>
      <c r="D479" s="99" t="s">
        <v>91</v>
      </c>
      <c r="E479" s="79" t="str">
        <f t="shared" si="24"/>
        <v/>
      </c>
      <c r="G479" s="18"/>
      <c r="H479" s="18"/>
      <c r="I479" s="18"/>
      <c r="J479" s="18"/>
      <c r="K479" s="183"/>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Quejas</v>
      </c>
      <c r="C480" s="85" t="str" cm="1">
        <f t="array" ref="C480">IFERROR(INDEX('03.Muestra'!$F$8:$F$42,SMALL(IF("Página Web"='03.Muestra'!$D$8:$D$42,ROW('03.Muestra'!$F$8:$F$42)-MIN(ROW('03.Muestra'!$D$8:$D$42))+1,""),ROW()-474)),"")</f>
        <v>https://www.comunidad.madrid/transparencia/quejas-y-reclamaciones</v>
      </c>
      <c r="D480" s="99" t="s">
        <v>91</v>
      </c>
      <c r="E480" s="79" t="str">
        <f t="shared" si="24"/>
        <v/>
      </c>
      <c r="G480" s="18"/>
      <c r="H480" s="18"/>
      <c r="I480" s="18"/>
      <c r="J480" s="18"/>
      <c r="K480" s="183"/>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Contratos</v>
      </c>
      <c r="C481" s="85" t="str" cm="1">
        <f t="array" ref="C481">IFERROR(INDEX('03.Muestra'!$F$8:$F$42,SMALL(IF("Página Web"='03.Muestra'!$D$8:$D$42,ROW('03.Muestra'!$F$8:$F$42)-MIN(ROW('03.Muestra'!$D$8:$D$42))+1,""),ROW()-474)),"")</f>
        <v>https://www.comunidad.madrid/transparencia/contratos</v>
      </c>
      <c r="D481" s="99" t="s">
        <v>91</v>
      </c>
      <c r="E481" s="79" t="str">
        <f t="shared" si="24"/>
        <v/>
      </c>
      <c r="F481" s="18"/>
      <c r="G481" s="18"/>
      <c r="H481" s="18"/>
      <c r="I481" s="18"/>
      <c r="J481" s="18"/>
      <c r="K481" s="183"/>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Consulta</v>
      </c>
      <c r="C482" s="85" t="str" cm="1">
        <f t="array" ref="C482">IFERROR(INDEX('03.Muestra'!$F$8:$F$42,SMALL(IF("Página Web"='03.Muestra'!$D$8:$D$42,ROW('03.Muestra'!$F$8:$F$42)-MIN(ROW('03.Muestra'!$D$8:$D$42))+1,""),ROW()-474)),"")</f>
        <v>https://www.comunidad.madrid/transparencia/normativa-planificacion/consulta-publica</v>
      </c>
      <c r="D482" s="99" t="s">
        <v>91</v>
      </c>
      <c r="E482" s="79" t="str">
        <f t="shared" si="24"/>
        <v/>
      </c>
      <c r="F482" s="18"/>
      <c r="G482" s="18"/>
      <c r="H482" s="18"/>
      <c r="I482" s="18"/>
      <c r="J482" s="18"/>
      <c r="K482" s="183"/>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Proyecto</v>
      </c>
      <c r="C483" s="85" t="str" cm="1">
        <f t="array" ref="C483">IFERROR(INDEX('03.Muestra'!$F$8:$F$42,SMALL(IF("Página Web"='03.Muestra'!$D$8:$D$42,ROW('03.Muestra'!$F$8:$F$42)-MIN(ROW('03.Muestra'!$D$8:$D$42))+1,""),ROW()-474)),"")</f>
        <v>https://www.comunidad.madrid/transparencia/proyecto-orden-que-se-crea-comision-farmacia-y-productos-sanitarios-cm-y-se-establece-su-composicion</v>
      </c>
      <c r="D483" s="99" t="s">
        <v>91</v>
      </c>
      <c r="E483" s="79" t="str">
        <f t="shared" si="24"/>
        <v/>
      </c>
      <c r="F483" s="18"/>
      <c r="G483" s="18"/>
      <c r="H483" s="18"/>
      <c r="I483" s="18"/>
      <c r="J483" s="18"/>
      <c r="K483" s="183"/>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Planes y Programas</v>
      </c>
      <c r="C484" s="85" t="str" cm="1">
        <f t="array" ref="C484">IFERROR(INDEX('03.Muestra'!$F$8:$F$42,SMALL(IF("Página Web"='03.Muestra'!$D$8:$D$42,ROW('03.Muestra'!$F$8:$F$42)-MIN(ROW('03.Muestra'!$D$8:$D$42))+1,""),ROW()-474)),"")</f>
        <v>https://www.comunidad.madrid/transparencia/normativa-planificacion/planes-programas</v>
      </c>
      <c r="D484" s="99" t="s">
        <v>91</v>
      </c>
      <c r="E484" s="79" t="str">
        <f t="shared" si="24"/>
        <v/>
      </c>
      <c r="F484" s="18"/>
      <c r="G484" s="18"/>
      <c r="H484" s="18"/>
      <c r="I484" s="18"/>
      <c r="J484" s="18"/>
      <c r="K484" s="183"/>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Estrategia</v>
      </c>
      <c r="C485" s="85" t="str" cm="1">
        <f t="array" ref="C485">IFERROR(INDEX('03.Muestra'!$F$8:$F$42,SMALL(IF("Página Web"='03.Muestra'!$D$8:$D$42,ROW('03.Muestra'!$F$8:$F$42)-MIN(ROW('03.Muestra'!$D$8:$D$42))+1,""),ROW()-474)),"")</f>
        <v>https://www.comunidad.madrid/transparencia/informacion-institucional/planes-programas/estrategia-seguridad-del-paciente-del-servicio-madrileno</v>
      </c>
      <c r="D485" s="99" t="s">
        <v>91</v>
      </c>
      <c r="E485" s="79" t="str">
        <f t="shared" si="24"/>
        <v/>
      </c>
      <c r="F485" s="18"/>
      <c r="G485" s="18"/>
      <c r="H485" s="18"/>
      <c r="I485" s="18"/>
      <c r="J485" s="18"/>
      <c r="K485" s="183"/>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Huella</v>
      </c>
      <c r="C486" s="85" t="str" cm="1">
        <f t="array" ref="C486">IFERROR(INDEX('03.Muestra'!$F$8:$F$42,SMALL(IF("Página Web"='03.Muestra'!$D$8:$D$42,ROW('03.Muestra'!$F$8:$F$42)-MIN(ROW('03.Muestra'!$D$8:$D$42))+1,""),ROW()-474)),"")</f>
        <v>https://www.comunidad.madrid/transparencia/normativa-planificacion/huella-normativa</v>
      </c>
      <c r="D486" s="99" t="s">
        <v>91</v>
      </c>
      <c r="E486" s="79" t="str">
        <f t="shared" si="24"/>
        <v/>
      </c>
      <c r="F486" s="18"/>
      <c r="G486" s="18"/>
      <c r="H486" s="18"/>
      <c r="I486" s="18"/>
      <c r="J486" s="18"/>
      <c r="K486" s="183"/>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Decreto</v>
      </c>
      <c r="C487" s="85" t="str" cm="1">
        <f t="array" ref="C487">IFERROR(INDEX('03.Muestra'!$F$8:$F$42,SMALL(IF("Página Web"='03.Muestra'!$D$8:$D$42,ROW('03.Muestra'!$F$8:$F$42)-MIN(ROW('03.Muestra'!$D$8:$D$42))+1,""),ROW()-474)),"")</f>
        <v>https://www.comunidad.madrid/transparencia/decreto-del-consejo-gobierno-que-se-establece-estructura-organica-consejeria-familia-juventud-y</v>
      </c>
      <c r="D487" s="99" t="s">
        <v>91</v>
      </c>
      <c r="E487" s="79" t="str">
        <f t="shared" si="24"/>
        <v/>
      </c>
      <c r="F487" s="18"/>
      <c r="G487" s="18"/>
      <c r="H487" s="18"/>
      <c r="I487" s="18"/>
      <c r="J487" s="18"/>
      <c r="K487" s="183"/>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Entidades Locales</v>
      </c>
      <c r="C488" s="85" t="str" cm="1">
        <f t="array" ref="C488">IFERROR(INDEX('03.Muestra'!$F$8:$F$42,SMALL(IF("Página Web"='03.Muestra'!$D$8:$D$42,ROW('03.Muestra'!$F$8:$F$42)-MIN(ROW('03.Muestra'!$D$8:$D$42))+1,""),ROW()-474)),"")</f>
        <v>https://www.comunidad.madrid/transparencia/entidades-locales</v>
      </c>
      <c r="D488" s="99" t="s">
        <v>91</v>
      </c>
      <c r="E488" s="79" t="str">
        <f t="shared" si="24"/>
        <v/>
      </c>
      <c r="F488" s="18"/>
      <c r="G488" s="18"/>
      <c r="H488" s="18"/>
      <c r="I488" s="18"/>
      <c r="J488" s="18"/>
      <c r="K488" s="183"/>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c r="E489" s="79" t="str">
        <f t="shared" si="24"/>
        <v/>
      </c>
      <c r="F489" s="18"/>
      <c r="G489" s="18"/>
      <c r="H489" s="18"/>
      <c r="I489" s="18"/>
      <c r="J489" s="18"/>
      <c r="K489" s="183"/>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ref="D490:D509" si="25">IF(AND(B490&lt;&gt;"",C490&lt;&gt;""),"N/T","")</f>
        <v/>
      </c>
      <c r="E490" s="79" t="str">
        <f t="shared" si="24"/>
        <v/>
      </c>
      <c r="F490" s="18"/>
      <c r="G490" s="18"/>
      <c r="H490" s="18"/>
      <c r="I490" s="18"/>
      <c r="J490" s="18"/>
      <c r="K490" s="183"/>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3"/>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3"/>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3"/>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3"/>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3"/>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3"/>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3"/>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3"/>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3"/>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3"/>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3"/>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3"/>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3"/>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3"/>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3"/>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3"/>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3"/>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3"/>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3"/>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3"/>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3"/>
      <c r="L511" s="18"/>
      <c r="M511" s="18"/>
      <c r="N511" s="18"/>
      <c r="O511" s="18"/>
      <c r="P511" s="18"/>
      <c r="Q511" s="18"/>
      <c r="R511" s="18"/>
      <c r="S511" s="18"/>
      <c r="T511" s="18"/>
      <c r="U511" s="18"/>
      <c r="V511" s="18"/>
      <c r="W511" s="18"/>
      <c r="X511" s="18"/>
      <c r="Y511" s="18"/>
    </row>
    <row r="512" spans="1:25" ht="29.25" customHeight="1">
      <c r="A512" s="172" t="s">
        <v>98</v>
      </c>
      <c r="B512" s="23" t="s">
        <v>90</v>
      </c>
      <c r="C512" s="24" t="s">
        <v>154</v>
      </c>
      <c r="D512" s="25" t="s">
        <v>100</v>
      </c>
      <c r="E512" s="93"/>
      <c r="K512" s="183"/>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https://www.comunidad.madrid/transparencia/</v>
      </c>
      <c r="D513" s="99" t="s">
        <v>93</v>
      </c>
      <c r="E513" s="79" t="str">
        <f t="shared" ref="E513:E547" si="26">IF(D513&lt;&gt;"",IF(AND(B513&lt;&gt;"",C513&lt;&gt;""),"","ERR"),"")</f>
        <v/>
      </c>
      <c r="F513" s="86" t="s">
        <v>101</v>
      </c>
      <c r="G513" s="87" t="s">
        <v>102</v>
      </c>
      <c r="H513" s="88" t="s">
        <v>103</v>
      </c>
      <c r="I513" s="89" t="s">
        <v>93</v>
      </c>
      <c r="J513" s="90" t="s">
        <v>91</v>
      </c>
      <c r="K513" s="178"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Aviso legal</v>
      </c>
      <c r="C514" s="85" t="str" cm="1">
        <f t="array" ref="C514">IFERROR(INDEX('03.Muestra'!$F$8:$F$42,SMALL(IF("Página Web"='03.Muestra'!$D$8:$D$42,ROW('03.Muestra'!$F$8:$F$42)-MIN(ROW('03.Muestra'!$D$8:$D$42))+1,""),ROW()-512)),"")</f>
        <v>https://www.comunidad.madrid/transparencia/aviso-legal</v>
      </c>
      <c r="D514" s="99" t="s">
        <v>93</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14</v>
      </c>
      <c r="J514" s="91">
        <f ca="1">COUNTIF($D513:INDIRECT("$D" &amp;  SUM(ROW()-1,'03.Muestra'!$D$45)-1),J513)</f>
        <v>0</v>
      </c>
      <c r="K514" s="179">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Accesibilidad</v>
      </c>
      <c r="C515" s="85" t="str" cm="1">
        <f t="array" ref="C515">IFERROR(INDEX('03.Muestra'!$F$8:$F$42,SMALL(IF("Página Web"='03.Muestra'!$D$8:$D$42,ROW('03.Muestra'!$F$8:$F$42)-MIN(ROW('03.Muestra'!$D$8:$D$42))+1,""),ROW()-512)),"")</f>
        <v>https://www.comunidad.madrid/transparencia/declaracion-accesibilidad</v>
      </c>
      <c r="D515" s="99" t="s">
        <v>93</v>
      </c>
      <c r="E515" s="79" t="str">
        <f t="shared" si="26"/>
        <v/>
      </c>
      <c r="G515" s="18"/>
      <c r="H515" s="18"/>
      <c r="I515" s="18"/>
      <c r="J515" s="18"/>
      <c r="K515" s="183"/>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Tranparencia</v>
      </c>
      <c r="C516" s="85" t="str" cm="1">
        <f t="array" ref="C516">IFERROR(INDEX('03.Muestra'!$F$8:$F$42,SMALL(IF("Página Web"='03.Muestra'!$D$8:$D$42,ROW('03.Muestra'!$F$8:$F$42)-MIN(ROW('03.Muestra'!$D$8:$D$42))+1,""),ROW()-512)),"")</f>
        <v>https://www.comunidad.madrid/transparencia/que-es-transparencia</v>
      </c>
      <c r="D516" s="99" t="s">
        <v>93</v>
      </c>
      <c r="E516" s="79" t="str">
        <f t="shared" si="26"/>
        <v/>
      </c>
      <c r="G516" s="18"/>
      <c r="H516" s="18"/>
      <c r="I516" s="18"/>
      <c r="J516" s="18"/>
      <c r="K516" s="183"/>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Organización</v>
      </c>
      <c r="C517" s="85" t="str" cm="1">
        <f t="array" ref="C517">IFERROR(INDEX('03.Muestra'!$F$8:$F$42,SMALL(IF("Página Web"='03.Muestra'!$D$8:$D$42,ROW('03.Muestra'!$F$8:$F$42)-MIN(ROW('03.Muestra'!$D$8:$D$42))+1,""),ROW()-512)),"")</f>
        <v>https://www.comunidad.madrid/transparencia/organizacion-recursos/organizacion</v>
      </c>
      <c r="D517" s="99" t="s">
        <v>93</v>
      </c>
      <c r="E517" s="79" t="str">
        <f t="shared" si="26"/>
        <v/>
      </c>
      <c r="G517" s="18"/>
      <c r="H517" s="18"/>
      <c r="I517" s="18"/>
      <c r="J517" s="18"/>
      <c r="K517" s="183"/>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Quejas</v>
      </c>
      <c r="C518" s="85" t="str" cm="1">
        <f t="array" ref="C518">IFERROR(INDEX('03.Muestra'!$F$8:$F$42,SMALL(IF("Página Web"='03.Muestra'!$D$8:$D$42,ROW('03.Muestra'!$F$8:$F$42)-MIN(ROW('03.Muestra'!$D$8:$D$42))+1,""),ROW()-512)),"")</f>
        <v>https://www.comunidad.madrid/transparencia/quejas-y-reclamaciones</v>
      </c>
      <c r="D518" s="99" t="s">
        <v>93</v>
      </c>
      <c r="E518" s="79" t="str">
        <f t="shared" si="26"/>
        <v/>
      </c>
      <c r="G518" s="18"/>
      <c r="H518" s="18"/>
      <c r="I518" s="18"/>
      <c r="J518" s="18"/>
      <c r="K518" s="183"/>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Contratos</v>
      </c>
      <c r="C519" s="85" t="str" cm="1">
        <f t="array" ref="C519">IFERROR(INDEX('03.Muestra'!$F$8:$F$42,SMALL(IF("Página Web"='03.Muestra'!$D$8:$D$42,ROW('03.Muestra'!$F$8:$F$42)-MIN(ROW('03.Muestra'!$D$8:$D$42))+1,""),ROW()-512)),"")</f>
        <v>https://www.comunidad.madrid/transparencia/contratos</v>
      </c>
      <c r="D519" s="99" t="s">
        <v>93</v>
      </c>
      <c r="E519" s="79" t="str">
        <f t="shared" si="26"/>
        <v/>
      </c>
      <c r="F519" s="18"/>
      <c r="G519" s="18"/>
      <c r="H519" s="18"/>
      <c r="I519" s="18"/>
      <c r="J519" s="18"/>
      <c r="K519" s="183"/>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Consulta</v>
      </c>
      <c r="C520" s="85" t="str" cm="1">
        <f t="array" ref="C520">IFERROR(INDEX('03.Muestra'!$F$8:$F$42,SMALL(IF("Página Web"='03.Muestra'!$D$8:$D$42,ROW('03.Muestra'!$F$8:$F$42)-MIN(ROW('03.Muestra'!$D$8:$D$42))+1,""),ROW()-512)),"")</f>
        <v>https://www.comunidad.madrid/transparencia/normativa-planificacion/consulta-publica</v>
      </c>
      <c r="D520" s="99" t="s">
        <v>93</v>
      </c>
      <c r="E520" s="79" t="str">
        <f t="shared" si="26"/>
        <v/>
      </c>
      <c r="F520" s="18"/>
      <c r="G520" s="18"/>
      <c r="H520" s="18"/>
      <c r="I520" s="18"/>
      <c r="J520" s="18"/>
      <c r="K520" s="183"/>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Proyecto</v>
      </c>
      <c r="C521" s="85" t="str" cm="1">
        <f t="array" ref="C521">IFERROR(INDEX('03.Muestra'!$F$8:$F$42,SMALL(IF("Página Web"='03.Muestra'!$D$8:$D$42,ROW('03.Muestra'!$F$8:$F$42)-MIN(ROW('03.Muestra'!$D$8:$D$42))+1,""),ROW()-512)),"")</f>
        <v>https://www.comunidad.madrid/transparencia/proyecto-orden-que-se-crea-comision-farmacia-y-productos-sanitarios-cm-y-se-establece-su-composicion</v>
      </c>
      <c r="D521" s="99" t="s">
        <v>93</v>
      </c>
      <c r="E521" s="79" t="str">
        <f t="shared" si="26"/>
        <v/>
      </c>
      <c r="F521" s="18"/>
      <c r="G521" s="18"/>
      <c r="H521" s="18"/>
      <c r="I521" s="18"/>
      <c r="J521" s="18"/>
      <c r="K521" s="183"/>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Planes y Programas</v>
      </c>
      <c r="C522" s="85" t="str" cm="1">
        <f t="array" ref="C522">IFERROR(INDEX('03.Muestra'!$F$8:$F$42,SMALL(IF("Página Web"='03.Muestra'!$D$8:$D$42,ROW('03.Muestra'!$F$8:$F$42)-MIN(ROW('03.Muestra'!$D$8:$D$42))+1,""),ROW()-512)),"")</f>
        <v>https://www.comunidad.madrid/transparencia/normativa-planificacion/planes-programas</v>
      </c>
      <c r="D522" s="99" t="s">
        <v>93</v>
      </c>
      <c r="E522" s="79" t="str">
        <f t="shared" si="26"/>
        <v/>
      </c>
      <c r="F522" s="18"/>
      <c r="G522" s="18"/>
      <c r="H522" s="18"/>
      <c r="I522" s="18"/>
      <c r="J522" s="18"/>
      <c r="K522" s="183"/>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Estrategia</v>
      </c>
      <c r="C523" s="85" t="str" cm="1">
        <f t="array" ref="C523">IFERROR(INDEX('03.Muestra'!$F$8:$F$42,SMALL(IF("Página Web"='03.Muestra'!$D$8:$D$42,ROW('03.Muestra'!$F$8:$F$42)-MIN(ROW('03.Muestra'!$D$8:$D$42))+1,""),ROW()-512)),"")</f>
        <v>https://www.comunidad.madrid/transparencia/informacion-institucional/planes-programas/estrategia-seguridad-del-paciente-del-servicio-madrileno</v>
      </c>
      <c r="D523" s="99" t="s">
        <v>93</v>
      </c>
      <c r="E523" s="79" t="str">
        <f t="shared" si="26"/>
        <v/>
      </c>
      <c r="F523" s="18"/>
      <c r="G523" s="18"/>
      <c r="H523" s="18"/>
      <c r="I523" s="18"/>
      <c r="J523" s="18"/>
      <c r="K523" s="183"/>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Huella</v>
      </c>
      <c r="C524" s="85" t="str" cm="1">
        <f t="array" ref="C524">IFERROR(INDEX('03.Muestra'!$F$8:$F$42,SMALL(IF("Página Web"='03.Muestra'!$D$8:$D$42,ROW('03.Muestra'!$F$8:$F$42)-MIN(ROW('03.Muestra'!$D$8:$D$42))+1,""),ROW()-512)),"")</f>
        <v>https://www.comunidad.madrid/transparencia/normativa-planificacion/huella-normativa</v>
      </c>
      <c r="D524" s="99" t="s">
        <v>93</v>
      </c>
      <c r="E524" s="79" t="str">
        <f t="shared" si="26"/>
        <v/>
      </c>
      <c r="F524" s="18"/>
      <c r="G524" s="18"/>
      <c r="H524" s="18"/>
      <c r="I524" s="18"/>
      <c r="J524" s="18"/>
      <c r="K524" s="183"/>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Decreto</v>
      </c>
      <c r="C525" s="85" t="str" cm="1">
        <f t="array" ref="C525">IFERROR(INDEX('03.Muestra'!$F$8:$F$42,SMALL(IF("Página Web"='03.Muestra'!$D$8:$D$42,ROW('03.Muestra'!$F$8:$F$42)-MIN(ROW('03.Muestra'!$D$8:$D$42))+1,""),ROW()-512)),"")</f>
        <v>https://www.comunidad.madrid/transparencia/decreto-del-consejo-gobierno-que-se-establece-estructura-organica-consejeria-familia-juventud-y</v>
      </c>
      <c r="D525" s="99" t="s">
        <v>93</v>
      </c>
      <c r="E525" s="79" t="str">
        <f t="shared" si="26"/>
        <v/>
      </c>
      <c r="F525" s="18"/>
      <c r="G525" s="18"/>
      <c r="H525" s="18"/>
      <c r="I525" s="18"/>
      <c r="J525" s="18"/>
      <c r="K525" s="183"/>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Entidades Locales</v>
      </c>
      <c r="C526" s="85" t="str" cm="1">
        <f t="array" ref="C526">IFERROR(INDEX('03.Muestra'!$F$8:$F$42,SMALL(IF("Página Web"='03.Muestra'!$D$8:$D$42,ROW('03.Muestra'!$F$8:$F$42)-MIN(ROW('03.Muestra'!$D$8:$D$42))+1,""),ROW()-512)),"")</f>
        <v>https://www.comunidad.madrid/transparencia/entidades-locales</v>
      </c>
      <c r="D526" s="99" t="s">
        <v>93</v>
      </c>
      <c r="E526" s="79" t="str">
        <f t="shared" si="26"/>
        <v/>
      </c>
      <c r="F526" s="18"/>
      <c r="G526" s="18"/>
      <c r="H526" s="18"/>
      <c r="I526" s="18"/>
      <c r="J526" s="18"/>
      <c r="K526" s="183"/>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ref="D527:D547" si="27">IF(AND(B527&lt;&gt;"",C527&lt;&gt;""),"N/T","")</f>
        <v/>
      </c>
      <c r="E527" s="79" t="str">
        <f t="shared" si="26"/>
        <v/>
      </c>
      <c r="F527" s="18"/>
      <c r="G527" s="18"/>
      <c r="H527" s="18"/>
      <c r="I527" s="18"/>
      <c r="J527" s="18"/>
      <c r="K527" s="183"/>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3"/>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3"/>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3"/>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3"/>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3"/>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3"/>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3"/>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3"/>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3"/>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3"/>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3"/>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3"/>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3"/>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3"/>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3"/>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3"/>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3"/>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3"/>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3"/>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3"/>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3"/>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3"/>
      <c r="L549" s="18"/>
      <c r="M549" s="18"/>
      <c r="N549" s="18"/>
      <c r="O549" s="18"/>
      <c r="P549" s="18"/>
      <c r="Q549" s="18"/>
      <c r="R549" s="18"/>
      <c r="S549" s="18"/>
      <c r="T549" s="18"/>
      <c r="U549" s="18"/>
      <c r="V549" s="18"/>
      <c r="W549" s="18"/>
      <c r="X549" s="18"/>
      <c r="Y549" s="18"/>
    </row>
    <row r="550" spans="1:25" ht="29.25" customHeight="1">
      <c r="A550" s="172" t="s">
        <v>98</v>
      </c>
      <c r="B550" s="23" t="s">
        <v>90</v>
      </c>
      <c r="C550" s="24" t="s">
        <v>155</v>
      </c>
      <c r="D550" s="25" t="s">
        <v>100</v>
      </c>
      <c r="E550" s="93"/>
      <c r="K550" s="183"/>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https://www.comunidad.madrid/transparencia/</v>
      </c>
      <c r="D551" s="99" t="s">
        <v>103</v>
      </c>
      <c r="E551" s="79" t="str">
        <f t="shared" ref="E551:E585" si="28">IF(D551&lt;&gt;"",IF(AND(B551&lt;&gt;"",C551&lt;&gt;""),"","ERR"),"")</f>
        <v/>
      </c>
      <c r="F551" s="86" t="s">
        <v>101</v>
      </c>
      <c r="G551" s="87" t="s">
        <v>102</v>
      </c>
      <c r="H551" s="88" t="s">
        <v>103</v>
      </c>
      <c r="I551" s="89" t="s">
        <v>93</v>
      </c>
      <c r="J551" s="90" t="s">
        <v>91</v>
      </c>
      <c r="K551" s="178"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Aviso legal</v>
      </c>
      <c r="C552" s="85" t="str" cm="1">
        <f t="array" ref="C552">IFERROR(INDEX('03.Muestra'!$F$8:$F$42,SMALL(IF("Página Web"='03.Muestra'!$D$8:$D$42,ROW('03.Muestra'!$F$8:$F$42)-MIN(ROW('03.Muestra'!$D$8:$D$42))+1,""),ROW()-550)),"")</f>
        <v>https://www.comunidad.madrid/transparencia/aviso-legal</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14</v>
      </c>
      <c r="I552" s="91">
        <f ca="1">COUNTIF($D551:INDIRECT("$D" &amp;  SUM(ROW()-1,'03.Muestra'!$D$45)-1),I551)</f>
        <v>0</v>
      </c>
      <c r="J552" s="91">
        <f ca="1">COUNTIF($D551:INDIRECT("$D" &amp;  SUM(ROW()-1,'03.Muestra'!$D$45)-1),J551)</f>
        <v>0</v>
      </c>
      <c r="K552" s="179">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Accesibilidad</v>
      </c>
      <c r="C553" s="85" t="str" cm="1">
        <f t="array" ref="C553">IFERROR(INDEX('03.Muestra'!$F$8:$F$42,SMALL(IF("Página Web"='03.Muestra'!$D$8:$D$42,ROW('03.Muestra'!$F$8:$F$42)-MIN(ROW('03.Muestra'!$D$8:$D$42))+1,""),ROW()-550)),"")</f>
        <v>https://www.comunidad.madrid/transparencia/declaracion-accesibilidad</v>
      </c>
      <c r="D553" s="99" t="s">
        <v>103</v>
      </c>
      <c r="E553" s="79" t="str">
        <f t="shared" si="28"/>
        <v/>
      </c>
      <c r="G553" s="18"/>
      <c r="H553" s="18"/>
      <c r="I553" s="18"/>
      <c r="J553" s="18"/>
      <c r="K553" s="183"/>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Tranparencia</v>
      </c>
      <c r="C554" s="85" t="str" cm="1">
        <f t="array" ref="C554">IFERROR(INDEX('03.Muestra'!$F$8:$F$42,SMALL(IF("Página Web"='03.Muestra'!$D$8:$D$42,ROW('03.Muestra'!$F$8:$F$42)-MIN(ROW('03.Muestra'!$D$8:$D$42))+1,""),ROW()-550)),"")</f>
        <v>https://www.comunidad.madrid/transparencia/que-es-transparencia</v>
      </c>
      <c r="D554" s="99" t="s">
        <v>103</v>
      </c>
      <c r="E554" s="79" t="str">
        <f t="shared" si="28"/>
        <v/>
      </c>
      <c r="G554" s="18"/>
      <c r="H554" s="18"/>
      <c r="I554" s="18"/>
      <c r="J554" s="18"/>
      <c r="K554" s="183"/>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Organización</v>
      </c>
      <c r="C555" s="85" t="str" cm="1">
        <f t="array" ref="C555">IFERROR(INDEX('03.Muestra'!$F$8:$F$42,SMALL(IF("Página Web"='03.Muestra'!$D$8:$D$42,ROW('03.Muestra'!$F$8:$F$42)-MIN(ROW('03.Muestra'!$D$8:$D$42))+1,""),ROW()-550)),"")</f>
        <v>https://www.comunidad.madrid/transparencia/organizacion-recursos/organizacion</v>
      </c>
      <c r="D555" s="99" t="s">
        <v>103</v>
      </c>
      <c r="E555" s="79" t="str">
        <f t="shared" si="28"/>
        <v/>
      </c>
      <c r="G555" s="18"/>
      <c r="H555" s="18"/>
      <c r="I555" s="18"/>
      <c r="J555" s="18"/>
      <c r="K555" s="183"/>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Quejas</v>
      </c>
      <c r="C556" s="85" t="str" cm="1">
        <f t="array" ref="C556">IFERROR(INDEX('03.Muestra'!$F$8:$F$42,SMALL(IF("Página Web"='03.Muestra'!$D$8:$D$42,ROW('03.Muestra'!$F$8:$F$42)-MIN(ROW('03.Muestra'!$D$8:$D$42))+1,""),ROW()-550)),"")</f>
        <v>https://www.comunidad.madrid/transparencia/quejas-y-reclamaciones</v>
      </c>
      <c r="D556" s="99" t="s">
        <v>103</v>
      </c>
      <c r="E556" s="79" t="str">
        <f t="shared" si="28"/>
        <v/>
      </c>
      <c r="G556" s="18"/>
      <c r="H556" s="18"/>
      <c r="I556" s="18"/>
      <c r="J556" s="18"/>
      <c r="K556" s="183"/>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Contratos</v>
      </c>
      <c r="C557" s="85" t="str" cm="1">
        <f t="array" ref="C557">IFERROR(INDEX('03.Muestra'!$F$8:$F$42,SMALL(IF("Página Web"='03.Muestra'!$D$8:$D$42,ROW('03.Muestra'!$F$8:$F$42)-MIN(ROW('03.Muestra'!$D$8:$D$42))+1,""),ROW()-550)),"")</f>
        <v>https://www.comunidad.madrid/transparencia/contratos</v>
      </c>
      <c r="D557" s="99" t="s">
        <v>103</v>
      </c>
      <c r="E557" s="79" t="str">
        <f t="shared" si="28"/>
        <v/>
      </c>
      <c r="F557" s="18"/>
      <c r="G557" s="18"/>
      <c r="H557" s="18"/>
      <c r="I557" s="18"/>
      <c r="J557" s="18"/>
      <c r="K557" s="183"/>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Consulta</v>
      </c>
      <c r="C558" s="85" t="str" cm="1">
        <f t="array" ref="C558">IFERROR(INDEX('03.Muestra'!$F$8:$F$42,SMALL(IF("Página Web"='03.Muestra'!$D$8:$D$42,ROW('03.Muestra'!$F$8:$F$42)-MIN(ROW('03.Muestra'!$D$8:$D$42))+1,""),ROW()-550)),"")</f>
        <v>https://www.comunidad.madrid/transparencia/normativa-planificacion/consulta-publica</v>
      </c>
      <c r="D558" s="99" t="s">
        <v>103</v>
      </c>
      <c r="E558" s="79" t="str">
        <f t="shared" si="28"/>
        <v/>
      </c>
      <c r="F558" s="18"/>
      <c r="G558" s="18"/>
      <c r="H558" s="18"/>
      <c r="I558" s="18"/>
      <c r="J558" s="18"/>
      <c r="K558" s="183"/>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Proyecto</v>
      </c>
      <c r="C559" s="85" t="str" cm="1">
        <f t="array" ref="C559">IFERROR(INDEX('03.Muestra'!$F$8:$F$42,SMALL(IF("Página Web"='03.Muestra'!$D$8:$D$42,ROW('03.Muestra'!$F$8:$F$42)-MIN(ROW('03.Muestra'!$D$8:$D$42))+1,""),ROW()-550)),"")</f>
        <v>https://www.comunidad.madrid/transparencia/proyecto-orden-que-se-crea-comision-farmacia-y-productos-sanitarios-cm-y-se-establece-su-composicion</v>
      </c>
      <c r="D559" s="99" t="s">
        <v>103</v>
      </c>
      <c r="E559" s="79" t="str">
        <f t="shared" si="28"/>
        <v/>
      </c>
      <c r="F559" s="18"/>
      <c r="G559" s="18"/>
      <c r="H559" s="18"/>
      <c r="I559" s="18"/>
      <c r="J559" s="18"/>
      <c r="K559" s="183"/>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Planes y Programas</v>
      </c>
      <c r="C560" s="85" t="str" cm="1">
        <f t="array" ref="C560">IFERROR(INDEX('03.Muestra'!$F$8:$F$42,SMALL(IF("Página Web"='03.Muestra'!$D$8:$D$42,ROW('03.Muestra'!$F$8:$F$42)-MIN(ROW('03.Muestra'!$D$8:$D$42))+1,""),ROW()-550)),"")</f>
        <v>https://www.comunidad.madrid/transparencia/normativa-planificacion/planes-programas</v>
      </c>
      <c r="D560" s="99" t="s">
        <v>103</v>
      </c>
      <c r="E560" s="79" t="str">
        <f t="shared" si="28"/>
        <v/>
      </c>
      <c r="F560" s="18"/>
      <c r="G560" s="18"/>
      <c r="H560" s="18"/>
      <c r="I560" s="18"/>
      <c r="J560" s="18"/>
      <c r="K560" s="183"/>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Estrategia</v>
      </c>
      <c r="C561" s="85" t="str" cm="1">
        <f t="array" ref="C561">IFERROR(INDEX('03.Muestra'!$F$8:$F$42,SMALL(IF("Página Web"='03.Muestra'!$D$8:$D$42,ROW('03.Muestra'!$F$8:$F$42)-MIN(ROW('03.Muestra'!$D$8:$D$42))+1,""),ROW()-550)),"")</f>
        <v>https://www.comunidad.madrid/transparencia/informacion-institucional/planes-programas/estrategia-seguridad-del-paciente-del-servicio-madrileno</v>
      </c>
      <c r="D561" s="99" t="s">
        <v>103</v>
      </c>
      <c r="E561" s="79" t="str">
        <f t="shared" si="28"/>
        <v/>
      </c>
      <c r="F561" s="18"/>
      <c r="G561" s="18"/>
      <c r="H561" s="18"/>
      <c r="I561" s="18"/>
      <c r="J561" s="18"/>
      <c r="K561" s="183"/>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Huella</v>
      </c>
      <c r="C562" s="85" t="str" cm="1">
        <f t="array" ref="C562">IFERROR(INDEX('03.Muestra'!$F$8:$F$42,SMALL(IF("Página Web"='03.Muestra'!$D$8:$D$42,ROW('03.Muestra'!$F$8:$F$42)-MIN(ROW('03.Muestra'!$D$8:$D$42))+1,""),ROW()-550)),"")</f>
        <v>https://www.comunidad.madrid/transparencia/normativa-planificacion/huella-normativa</v>
      </c>
      <c r="D562" s="99" t="s">
        <v>103</v>
      </c>
      <c r="E562" s="79" t="str">
        <f t="shared" si="28"/>
        <v/>
      </c>
      <c r="F562" s="18"/>
      <c r="G562" s="18"/>
      <c r="H562" s="18"/>
      <c r="I562" s="18"/>
      <c r="J562" s="18"/>
      <c r="K562" s="183"/>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Decreto</v>
      </c>
      <c r="C563" s="85" t="str" cm="1">
        <f t="array" ref="C563">IFERROR(INDEX('03.Muestra'!$F$8:$F$42,SMALL(IF("Página Web"='03.Muestra'!$D$8:$D$42,ROW('03.Muestra'!$F$8:$F$42)-MIN(ROW('03.Muestra'!$D$8:$D$42))+1,""),ROW()-550)),"")</f>
        <v>https://www.comunidad.madrid/transparencia/decreto-del-consejo-gobierno-que-se-establece-estructura-organica-consejeria-familia-juventud-y</v>
      </c>
      <c r="D563" s="99" t="s">
        <v>103</v>
      </c>
      <c r="E563" s="79" t="str">
        <f t="shared" si="28"/>
        <v/>
      </c>
      <c r="F563" s="18"/>
      <c r="G563" s="18"/>
      <c r="H563" s="18"/>
      <c r="I563" s="18"/>
      <c r="J563" s="18"/>
      <c r="K563" s="183"/>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Entidades Locales</v>
      </c>
      <c r="C564" s="85" t="str" cm="1">
        <f t="array" ref="C564">IFERROR(INDEX('03.Muestra'!$F$8:$F$42,SMALL(IF("Página Web"='03.Muestra'!$D$8:$D$42,ROW('03.Muestra'!$F$8:$F$42)-MIN(ROW('03.Muestra'!$D$8:$D$42))+1,""),ROW()-550)),"")</f>
        <v>https://www.comunidad.madrid/transparencia/entidades-locales</v>
      </c>
      <c r="D564" s="99" t="s">
        <v>103</v>
      </c>
      <c r="E564" s="79" t="str">
        <f t="shared" si="28"/>
        <v/>
      </c>
      <c r="F564" s="18"/>
      <c r="G564" s="18"/>
      <c r="H564" s="18"/>
      <c r="I564" s="18"/>
      <c r="J564" s="18"/>
      <c r="K564" s="183"/>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ref="D565:D585" si="29">IF(AND(B565&lt;&gt;"",C565&lt;&gt;""),"N/T","")</f>
        <v/>
      </c>
      <c r="E565" s="79" t="str">
        <f t="shared" si="28"/>
        <v/>
      </c>
      <c r="F565" s="18"/>
      <c r="G565" s="18"/>
      <c r="H565" s="18"/>
      <c r="I565" s="18"/>
      <c r="J565" s="18"/>
      <c r="K565" s="183"/>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3"/>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3"/>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3"/>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3"/>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3"/>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3"/>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3"/>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3"/>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3"/>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3"/>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3"/>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3"/>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3"/>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3"/>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3"/>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3"/>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3"/>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3"/>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3"/>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3"/>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3"/>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3"/>
      <c r="L587" s="18"/>
      <c r="M587" s="18"/>
      <c r="N587" s="18"/>
      <c r="O587" s="18"/>
      <c r="P587" s="18"/>
      <c r="Q587" s="18"/>
      <c r="R587" s="18"/>
      <c r="S587" s="18"/>
      <c r="T587" s="18"/>
      <c r="U587" s="18"/>
      <c r="V587" s="18"/>
      <c r="W587" s="18"/>
      <c r="X587" s="18"/>
      <c r="Y587" s="18"/>
    </row>
    <row r="588" spans="1:25" ht="29.25" customHeight="1">
      <c r="A588" s="172" t="s">
        <v>98</v>
      </c>
      <c r="B588" s="23" t="s">
        <v>90</v>
      </c>
      <c r="C588" s="24" t="s">
        <v>156</v>
      </c>
      <c r="D588" s="25" t="s">
        <v>100</v>
      </c>
      <c r="E588" s="93"/>
      <c r="K588" s="183"/>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https://www.comunidad.madrid/transparencia/</v>
      </c>
      <c r="D589" s="99" t="s">
        <v>93</v>
      </c>
      <c r="E589" s="79" t="str">
        <f t="shared" ref="E589:E623" si="30">IF(D589&lt;&gt;"",IF(AND(B589&lt;&gt;"",C589&lt;&gt;""),"","ERR"),"")</f>
        <v/>
      </c>
      <c r="F589" s="86" t="s">
        <v>101</v>
      </c>
      <c r="G589" s="87" t="s">
        <v>102</v>
      </c>
      <c r="H589" s="88" t="s">
        <v>103</v>
      </c>
      <c r="I589" s="89" t="s">
        <v>93</v>
      </c>
      <c r="J589" s="90" t="s">
        <v>91</v>
      </c>
      <c r="K589" s="178"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Aviso legal</v>
      </c>
      <c r="C590" s="85" t="str" cm="1">
        <f t="array" ref="C590">IFERROR(INDEX('03.Muestra'!$F$8:$F$42,SMALL(IF("Página Web"='03.Muestra'!$D$8:$D$42,ROW('03.Muestra'!$F$8:$F$42)-MIN(ROW('03.Muestra'!$D$8:$D$42))+1,""),ROW()-588)),"")</f>
        <v>https://www.comunidad.madrid/transparencia/aviso-legal</v>
      </c>
      <c r="D590" s="99" t="s">
        <v>93</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14</v>
      </c>
      <c r="J590" s="91">
        <f ca="1">COUNTIF($D589:INDIRECT("$D" &amp;  SUM(ROW()-1,'03.Muestra'!$D$45)-1),J589)</f>
        <v>0</v>
      </c>
      <c r="K590" s="179">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Accesibilidad</v>
      </c>
      <c r="C591" s="85" t="str" cm="1">
        <f t="array" ref="C591">IFERROR(INDEX('03.Muestra'!$F$8:$F$42,SMALL(IF("Página Web"='03.Muestra'!$D$8:$D$42,ROW('03.Muestra'!$F$8:$F$42)-MIN(ROW('03.Muestra'!$D$8:$D$42))+1,""),ROW()-588)),"")</f>
        <v>https://www.comunidad.madrid/transparencia/declaracion-accesibilidad</v>
      </c>
      <c r="D591" s="99" t="s">
        <v>93</v>
      </c>
      <c r="E591" s="79" t="str">
        <f t="shared" si="30"/>
        <v/>
      </c>
      <c r="G591" s="18"/>
      <c r="H591" s="18"/>
      <c r="I591" s="18"/>
      <c r="J591" s="18"/>
      <c r="K591" s="183"/>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Tranparencia</v>
      </c>
      <c r="C592" s="85" t="str" cm="1">
        <f t="array" ref="C592">IFERROR(INDEX('03.Muestra'!$F$8:$F$42,SMALL(IF("Página Web"='03.Muestra'!$D$8:$D$42,ROW('03.Muestra'!$F$8:$F$42)-MIN(ROW('03.Muestra'!$D$8:$D$42))+1,""),ROW()-588)),"")</f>
        <v>https://www.comunidad.madrid/transparencia/que-es-transparencia</v>
      </c>
      <c r="D592" s="99" t="s">
        <v>93</v>
      </c>
      <c r="E592" s="79" t="str">
        <f t="shared" si="30"/>
        <v/>
      </c>
      <c r="G592" s="18"/>
      <c r="H592" s="18"/>
      <c r="I592" s="18"/>
      <c r="J592" s="18"/>
      <c r="K592" s="183"/>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Organización</v>
      </c>
      <c r="C593" s="85" t="str" cm="1">
        <f t="array" ref="C593">IFERROR(INDEX('03.Muestra'!$F$8:$F$42,SMALL(IF("Página Web"='03.Muestra'!$D$8:$D$42,ROW('03.Muestra'!$F$8:$F$42)-MIN(ROW('03.Muestra'!$D$8:$D$42))+1,""),ROW()-588)),"")</f>
        <v>https://www.comunidad.madrid/transparencia/organizacion-recursos/organizacion</v>
      </c>
      <c r="D593" s="99" t="s">
        <v>93</v>
      </c>
      <c r="E593" s="79" t="str">
        <f t="shared" si="30"/>
        <v/>
      </c>
      <c r="G593" s="18"/>
      <c r="H593" s="18"/>
      <c r="I593" s="18"/>
      <c r="J593" s="18"/>
      <c r="K593" s="183"/>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Quejas</v>
      </c>
      <c r="C594" s="85" t="str" cm="1">
        <f t="array" ref="C594">IFERROR(INDEX('03.Muestra'!$F$8:$F$42,SMALL(IF("Página Web"='03.Muestra'!$D$8:$D$42,ROW('03.Muestra'!$F$8:$F$42)-MIN(ROW('03.Muestra'!$D$8:$D$42))+1,""),ROW()-588)),"")</f>
        <v>https://www.comunidad.madrid/transparencia/quejas-y-reclamaciones</v>
      </c>
      <c r="D594" s="99" t="s">
        <v>93</v>
      </c>
      <c r="E594" s="79" t="str">
        <f t="shared" si="30"/>
        <v/>
      </c>
      <c r="G594" s="18"/>
      <c r="H594" s="18"/>
      <c r="I594" s="18"/>
      <c r="J594" s="18"/>
      <c r="K594" s="183"/>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Contratos</v>
      </c>
      <c r="C595" s="85" t="str" cm="1">
        <f t="array" ref="C595">IFERROR(INDEX('03.Muestra'!$F$8:$F$42,SMALL(IF("Página Web"='03.Muestra'!$D$8:$D$42,ROW('03.Muestra'!$F$8:$F$42)-MIN(ROW('03.Muestra'!$D$8:$D$42))+1,""),ROW()-588)),"")</f>
        <v>https://www.comunidad.madrid/transparencia/contratos</v>
      </c>
      <c r="D595" s="99" t="s">
        <v>93</v>
      </c>
      <c r="E595" s="79" t="str">
        <f t="shared" si="30"/>
        <v/>
      </c>
      <c r="F595" s="18"/>
      <c r="G595" s="18"/>
      <c r="H595" s="18"/>
      <c r="I595" s="18"/>
      <c r="J595" s="18"/>
      <c r="K595" s="183"/>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Consulta</v>
      </c>
      <c r="C596" s="85" t="str" cm="1">
        <f t="array" ref="C596">IFERROR(INDEX('03.Muestra'!$F$8:$F$42,SMALL(IF("Página Web"='03.Muestra'!$D$8:$D$42,ROW('03.Muestra'!$F$8:$F$42)-MIN(ROW('03.Muestra'!$D$8:$D$42))+1,""),ROW()-588)),"")</f>
        <v>https://www.comunidad.madrid/transparencia/normativa-planificacion/consulta-publica</v>
      </c>
      <c r="D596" s="99" t="s">
        <v>93</v>
      </c>
      <c r="E596" s="79" t="str">
        <f t="shared" si="30"/>
        <v/>
      </c>
      <c r="F596" s="18"/>
      <c r="G596" s="18"/>
      <c r="H596" s="18"/>
      <c r="I596" s="18"/>
      <c r="J596" s="18"/>
      <c r="K596" s="183"/>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Proyecto</v>
      </c>
      <c r="C597" s="85" t="str" cm="1">
        <f t="array" ref="C597">IFERROR(INDEX('03.Muestra'!$F$8:$F$42,SMALL(IF("Página Web"='03.Muestra'!$D$8:$D$42,ROW('03.Muestra'!$F$8:$F$42)-MIN(ROW('03.Muestra'!$D$8:$D$42))+1,""),ROW()-588)),"")</f>
        <v>https://www.comunidad.madrid/transparencia/proyecto-orden-que-se-crea-comision-farmacia-y-productos-sanitarios-cm-y-se-establece-su-composicion</v>
      </c>
      <c r="D597" s="99" t="s">
        <v>93</v>
      </c>
      <c r="E597" s="79" t="str">
        <f t="shared" si="30"/>
        <v/>
      </c>
      <c r="F597" s="18"/>
      <c r="G597" s="18"/>
      <c r="H597" s="18"/>
      <c r="I597" s="18"/>
      <c r="J597" s="18"/>
      <c r="K597" s="183"/>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Planes y Programas</v>
      </c>
      <c r="C598" s="85" t="str" cm="1">
        <f t="array" ref="C598">IFERROR(INDEX('03.Muestra'!$F$8:$F$42,SMALL(IF("Página Web"='03.Muestra'!$D$8:$D$42,ROW('03.Muestra'!$F$8:$F$42)-MIN(ROW('03.Muestra'!$D$8:$D$42))+1,""),ROW()-588)),"")</f>
        <v>https://www.comunidad.madrid/transparencia/normativa-planificacion/planes-programas</v>
      </c>
      <c r="D598" s="99" t="s">
        <v>93</v>
      </c>
      <c r="E598" s="79" t="str">
        <f t="shared" si="30"/>
        <v/>
      </c>
      <c r="F598" s="18"/>
      <c r="G598" s="18"/>
      <c r="H598" s="18"/>
      <c r="I598" s="18"/>
      <c r="J598" s="18"/>
      <c r="K598" s="183"/>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Estrategia</v>
      </c>
      <c r="C599" s="85" t="str" cm="1">
        <f t="array" ref="C599">IFERROR(INDEX('03.Muestra'!$F$8:$F$42,SMALL(IF("Página Web"='03.Muestra'!$D$8:$D$42,ROW('03.Muestra'!$F$8:$F$42)-MIN(ROW('03.Muestra'!$D$8:$D$42))+1,""),ROW()-588)),"")</f>
        <v>https://www.comunidad.madrid/transparencia/informacion-institucional/planes-programas/estrategia-seguridad-del-paciente-del-servicio-madrileno</v>
      </c>
      <c r="D599" s="99" t="s">
        <v>93</v>
      </c>
      <c r="E599" s="79" t="str">
        <f t="shared" si="30"/>
        <v/>
      </c>
      <c r="F599" s="18"/>
      <c r="G599" s="18"/>
      <c r="H599" s="18"/>
      <c r="I599" s="18"/>
      <c r="J599" s="18"/>
      <c r="K599" s="183"/>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Huella</v>
      </c>
      <c r="C600" s="85" t="str" cm="1">
        <f t="array" ref="C600">IFERROR(INDEX('03.Muestra'!$F$8:$F$42,SMALL(IF("Página Web"='03.Muestra'!$D$8:$D$42,ROW('03.Muestra'!$F$8:$F$42)-MIN(ROW('03.Muestra'!$D$8:$D$42))+1,""),ROW()-588)),"")</f>
        <v>https://www.comunidad.madrid/transparencia/normativa-planificacion/huella-normativa</v>
      </c>
      <c r="D600" s="99" t="s">
        <v>93</v>
      </c>
      <c r="E600" s="79" t="str">
        <f t="shared" si="30"/>
        <v/>
      </c>
      <c r="F600" s="18"/>
      <c r="G600" s="18"/>
      <c r="H600" s="18"/>
      <c r="I600" s="18"/>
      <c r="J600" s="18"/>
      <c r="K600" s="183"/>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Decreto</v>
      </c>
      <c r="C601" s="85" t="str" cm="1">
        <f t="array" ref="C601">IFERROR(INDEX('03.Muestra'!$F$8:$F$42,SMALL(IF("Página Web"='03.Muestra'!$D$8:$D$42,ROW('03.Muestra'!$F$8:$F$42)-MIN(ROW('03.Muestra'!$D$8:$D$42))+1,""),ROW()-588)),"")</f>
        <v>https://www.comunidad.madrid/transparencia/decreto-del-consejo-gobierno-que-se-establece-estructura-organica-consejeria-familia-juventud-y</v>
      </c>
      <c r="D601" s="99" t="s">
        <v>93</v>
      </c>
      <c r="E601" s="79" t="str">
        <f t="shared" si="30"/>
        <v/>
      </c>
      <c r="F601" s="18"/>
      <c r="G601" s="18"/>
      <c r="H601" s="18"/>
      <c r="I601" s="18"/>
      <c r="J601" s="18"/>
      <c r="K601" s="183"/>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Entidades Locales</v>
      </c>
      <c r="C602" s="85" t="str" cm="1">
        <f t="array" ref="C602">IFERROR(INDEX('03.Muestra'!$F$8:$F$42,SMALL(IF("Página Web"='03.Muestra'!$D$8:$D$42,ROW('03.Muestra'!$F$8:$F$42)-MIN(ROW('03.Muestra'!$D$8:$D$42))+1,""),ROW()-588)),"")</f>
        <v>https://www.comunidad.madrid/transparencia/entidades-locales</v>
      </c>
      <c r="D602" s="99" t="s">
        <v>93</v>
      </c>
      <c r="E602" s="79" t="str">
        <f t="shared" si="30"/>
        <v/>
      </c>
      <c r="F602" s="18"/>
      <c r="G602" s="18"/>
      <c r="H602" s="18"/>
      <c r="I602" s="18"/>
      <c r="J602" s="18"/>
      <c r="K602" s="183"/>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ref="D603:D623" si="31">IF(AND(B603&lt;&gt;"",C603&lt;&gt;""),"N/T","")</f>
        <v/>
      </c>
      <c r="E603" s="79" t="str">
        <f t="shared" si="30"/>
        <v/>
      </c>
      <c r="F603" s="18"/>
      <c r="G603" s="18"/>
      <c r="H603" s="18"/>
      <c r="I603" s="18"/>
      <c r="J603" s="18"/>
      <c r="K603" s="183"/>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3"/>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3"/>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3"/>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3"/>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3"/>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3"/>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3"/>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3"/>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3"/>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3"/>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3"/>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3"/>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3"/>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3"/>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3"/>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3"/>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3"/>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3"/>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3"/>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3"/>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3"/>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3"/>
      <c r="L625" s="18"/>
      <c r="M625" s="18"/>
      <c r="N625" s="18"/>
      <c r="O625" s="18"/>
      <c r="P625" s="18"/>
      <c r="Q625" s="18"/>
      <c r="R625" s="18"/>
      <c r="S625" s="18"/>
      <c r="T625" s="18"/>
      <c r="U625" s="18"/>
      <c r="V625" s="18"/>
      <c r="W625" s="18"/>
      <c r="X625" s="18"/>
      <c r="Y625" s="18"/>
    </row>
    <row r="626" spans="1:25" ht="29.25" customHeight="1">
      <c r="A626" s="172" t="s">
        <v>98</v>
      </c>
      <c r="B626" s="23" t="s">
        <v>90</v>
      </c>
      <c r="C626" s="24" t="s">
        <v>157</v>
      </c>
      <c r="D626" s="25" t="s">
        <v>100</v>
      </c>
      <c r="E626" s="93"/>
      <c r="K626" s="183"/>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https://www.comunidad.madrid/transparencia/</v>
      </c>
      <c r="D627" s="99" t="s">
        <v>93</v>
      </c>
      <c r="E627" s="79" t="str">
        <f t="shared" ref="E627:E661" si="32">IF(D627&lt;&gt;"",IF(AND(B627&lt;&gt;"",C627&lt;&gt;""),"","ERR"),"")</f>
        <v/>
      </c>
      <c r="F627" s="86" t="s">
        <v>101</v>
      </c>
      <c r="G627" s="87" t="s">
        <v>102</v>
      </c>
      <c r="H627" s="88" t="s">
        <v>103</v>
      </c>
      <c r="I627" s="89" t="s">
        <v>93</v>
      </c>
      <c r="J627" s="90" t="s">
        <v>91</v>
      </c>
      <c r="K627" s="178"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Aviso legal</v>
      </c>
      <c r="C628" s="85" t="str" cm="1">
        <f t="array" ref="C628">IFERROR(INDEX('03.Muestra'!$F$8:$F$42,SMALL(IF("Página Web"='03.Muestra'!$D$8:$D$42,ROW('03.Muestra'!$F$8:$F$42)-MIN(ROW('03.Muestra'!$D$8:$D$42))+1,""),ROW()-626)),"")</f>
        <v>https://www.comunidad.madrid/transparencia/aviso-legal</v>
      </c>
      <c r="D628" s="99" t="s">
        <v>93</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14</v>
      </c>
      <c r="J628" s="91">
        <f ca="1">COUNTIF($D627:INDIRECT("$D" &amp;  SUM(ROW()-1,'03.Muestra'!$D$45)-1),J627)</f>
        <v>0</v>
      </c>
      <c r="K628" s="179">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Accesibilidad</v>
      </c>
      <c r="C629" s="85" t="str" cm="1">
        <f t="array" ref="C629">IFERROR(INDEX('03.Muestra'!$F$8:$F$42,SMALL(IF("Página Web"='03.Muestra'!$D$8:$D$42,ROW('03.Muestra'!$F$8:$F$42)-MIN(ROW('03.Muestra'!$D$8:$D$42))+1,""),ROW()-626)),"")</f>
        <v>https://www.comunidad.madrid/transparencia/declaracion-accesibilidad</v>
      </c>
      <c r="D629" s="99" t="s">
        <v>93</v>
      </c>
      <c r="E629" s="79" t="str">
        <f t="shared" si="32"/>
        <v/>
      </c>
      <c r="G629" s="18"/>
      <c r="H629" s="18"/>
      <c r="I629" s="18"/>
      <c r="J629" s="18"/>
      <c r="K629" s="183"/>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Tranparencia</v>
      </c>
      <c r="C630" s="85" t="str" cm="1">
        <f t="array" ref="C630">IFERROR(INDEX('03.Muestra'!$F$8:$F$42,SMALL(IF("Página Web"='03.Muestra'!$D$8:$D$42,ROW('03.Muestra'!$F$8:$F$42)-MIN(ROW('03.Muestra'!$D$8:$D$42))+1,""),ROW()-626)),"")</f>
        <v>https://www.comunidad.madrid/transparencia/que-es-transparencia</v>
      </c>
      <c r="D630" s="99" t="s">
        <v>93</v>
      </c>
      <c r="E630" s="79" t="str">
        <f t="shared" si="32"/>
        <v/>
      </c>
      <c r="G630" s="18"/>
      <c r="H630" s="18"/>
      <c r="I630" s="18"/>
      <c r="J630" s="18"/>
      <c r="K630" s="183"/>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Organización</v>
      </c>
      <c r="C631" s="85" t="str" cm="1">
        <f t="array" ref="C631">IFERROR(INDEX('03.Muestra'!$F$8:$F$42,SMALL(IF("Página Web"='03.Muestra'!$D$8:$D$42,ROW('03.Muestra'!$F$8:$F$42)-MIN(ROW('03.Muestra'!$D$8:$D$42))+1,""),ROW()-626)),"")</f>
        <v>https://www.comunidad.madrid/transparencia/organizacion-recursos/organizacion</v>
      </c>
      <c r="D631" s="99" t="s">
        <v>93</v>
      </c>
      <c r="E631" s="79" t="str">
        <f t="shared" si="32"/>
        <v/>
      </c>
      <c r="G631" s="18"/>
      <c r="H631" s="18"/>
      <c r="I631" s="18"/>
      <c r="J631" s="18"/>
      <c r="K631" s="183"/>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Quejas</v>
      </c>
      <c r="C632" s="85" t="str" cm="1">
        <f t="array" ref="C632">IFERROR(INDEX('03.Muestra'!$F$8:$F$42,SMALL(IF("Página Web"='03.Muestra'!$D$8:$D$42,ROW('03.Muestra'!$F$8:$F$42)-MIN(ROW('03.Muestra'!$D$8:$D$42))+1,""),ROW()-626)),"")</f>
        <v>https://www.comunidad.madrid/transparencia/quejas-y-reclamaciones</v>
      </c>
      <c r="D632" s="99" t="s">
        <v>93</v>
      </c>
      <c r="E632" s="79" t="str">
        <f t="shared" si="32"/>
        <v/>
      </c>
      <c r="G632" s="18"/>
      <c r="H632" s="18"/>
      <c r="I632" s="18"/>
      <c r="J632" s="18"/>
      <c r="K632" s="183"/>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Contratos</v>
      </c>
      <c r="C633" s="85" t="str" cm="1">
        <f t="array" ref="C633">IFERROR(INDEX('03.Muestra'!$F$8:$F$42,SMALL(IF("Página Web"='03.Muestra'!$D$8:$D$42,ROW('03.Muestra'!$F$8:$F$42)-MIN(ROW('03.Muestra'!$D$8:$D$42))+1,""),ROW()-626)),"")</f>
        <v>https://www.comunidad.madrid/transparencia/contratos</v>
      </c>
      <c r="D633" s="99" t="s">
        <v>93</v>
      </c>
      <c r="E633" s="79" t="str">
        <f t="shared" si="32"/>
        <v/>
      </c>
      <c r="F633" s="18"/>
      <c r="G633" s="18"/>
      <c r="H633" s="18"/>
      <c r="I633" s="18"/>
      <c r="J633" s="18"/>
      <c r="K633" s="183"/>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Consulta</v>
      </c>
      <c r="C634" s="85" t="str" cm="1">
        <f t="array" ref="C634">IFERROR(INDEX('03.Muestra'!$F$8:$F$42,SMALL(IF("Página Web"='03.Muestra'!$D$8:$D$42,ROW('03.Muestra'!$F$8:$F$42)-MIN(ROW('03.Muestra'!$D$8:$D$42))+1,""),ROW()-626)),"")</f>
        <v>https://www.comunidad.madrid/transparencia/normativa-planificacion/consulta-publica</v>
      </c>
      <c r="D634" s="99" t="s">
        <v>93</v>
      </c>
      <c r="E634" s="79" t="str">
        <f t="shared" si="32"/>
        <v/>
      </c>
      <c r="F634" s="18"/>
      <c r="G634" s="18"/>
      <c r="H634" s="18"/>
      <c r="I634" s="18"/>
      <c r="J634" s="18"/>
      <c r="K634" s="183"/>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Proyecto</v>
      </c>
      <c r="C635" s="85" t="str" cm="1">
        <f t="array" ref="C635">IFERROR(INDEX('03.Muestra'!$F$8:$F$42,SMALL(IF("Página Web"='03.Muestra'!$D$8:$D$42,ROW('03.Muestra'!$F$8:$F$42)-MIN(ROW('03.Muestra'!$D$8:$D$42))+1,""),ROW()-626)),"")</f>
        <v>https://www.comunidad.madrid/transparencia/proyecto-orden-que-se-crea-comision-farmacia-y-productos-sanitarios-cm-y-se-establece-su-composicion</v>
      </c>
      <c r="D635" s="99" t="s">
        <v>93</v>
      </c>
      <c r="E635" s="79" t="str">
        <f t="shared" si="32"/>
        <v/>
      </c>
      <c r="F635" s="18"/>
      <c r="G635" s="18"/>
      <c r="H635" s="18"/>
      <c r="I635" s="18"/>
      <c r="J635" s="18"/>
      <c r="K635" s="183"/>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Planes y Programas</v>
      </c>
      <c r="C636" s="85" t="str" cm="1">
        <f t="array" ref="C636">IFERROR(INDEX('03.Muestra'!$F$8:$F$42,SMALL(IF("Página Web"='03.Muestra'!$D$8:$D$42,ROW('03.Muestra'!$F$8:$F$42)-MIN(ROW('03.Muestra'!$D$8:$D$42))+1,""),ROW()-626)),"")</f>
        <v>https://www.comunidad.madrid/transparencia/normativa-planificacion/planes-programas</v>
      </c>
      <c r="D636" s="99" t="s">
        <v>93</v>
      </c>
      <c r="E636" s="79" t="str">
        <f t="shared" si="32"/>
        <v/>
      </c>
      <c r="F636" s="18"/>
      <c r="G636" s="18"/>
      <c r="H636" s="18"/>
      <c r="I636" s="18"/>
      <c r="J636" s="18"/>
      <c r="K636" s="183"/>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Estrategia</v>
      </c>
      <c r="C637" s="85" t="str" cm="1">
        <f t="array" ref="C637">IFERROR(INDEX('03.Muestra'!$F$8:$F$42,SMALL(IF("Página Web"='03.Muestra'!$D$8:$D$42,ROW('03.Muestra'!$F$8:$F$42)-MIN(ROW('03.Muestra'!$D$8:$D$42))+1,""),ROW()-626)),"")</f>
        <v>https://www.comunidad.madrid/transparencia/informacion-institucional/planes-programas/estrategia-seguridad-del-paciente-del-servicio-madrileno</v>
      </c>
      <c r="D637" s="99" t="s">
        <v>93</v>
      </c>
      <c r="E637" s="79" t="str">
        <f t="shared" si="32"/>
        <v/>
      </c>
      <c r="F637" s="18"/>
      <c r="G637" s="18"/>
      <c r="H637" s="18"/>
      <c r="I637" s="18"/>
      <c r="J637" s="18"/>
      <c r="K637" s="183"/>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Huella</v>
      </c>
      <c r="C638" s="85" t="str" cm="1">
        <f t="array" ref="C638">IFERROR(INDEX('03.Muestra'!$F$8:$F$42,SMALL(IF("Página Web"='03.Muestra'!$D$8:$D$42,ROW('03.Muestra'!$F$8:$F$42)-MIN(ROW('03.Muestra'!$D$8:$D$42))+1,""),ROW()-626)),"")</f>
        <v>https://www.comunidad.madrid/transparencia/normativa-planificacion/huella-normativa</v>
      </c>
      <c r="D638" s="99" t="s">
        <v>93</v>
      </c>
      <c r="E638" s="79" t="str">
        <f t="shared" si="32"/>
        <v/>
      </c>
      <c r="F638" s="18"/>
      <c r="G638" s="18"/>
      <c r="H638" s="18"/>
      <c r="I638" s="18"/>
      <c r="J638" s="18"/>
      <c r="K638" s="183"/>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Decreto</v>
      </c>
      <c r="C639" s="85" t="str" cm="1">
        <f t="array" ref="C639">IFERROR(INDEX('03.Muestra'!$F$8:$F$42,SMALL(IF("Página Web"='03.Muestra'!$D$8:$D$42,ROW('03.Muestra'!$F$8:$F$42)-MIN(ROW('03.Muestra'!$D$8:$D$42))+1,""),ROW()-626)),"")</f>
        <v>https://www.comunidad.madrid/transparencia/decreto-del-consejo-gobierno-que-se-establece-estructura-organica-consejeria-familia-juventud-y</v>
      </c>
      <c r="D639" s="99" t="s">
        <v>93</v>
      </c>
      <c r="E639" s="79" t="str">
        <f t="shared" si="32"/>
        <v/>
      </c>
      <c r="F639" s="18"/>
      <c r="G639" s="18"/>
      <c r="H639" s="18"/>
      <c r="I639" s="18"/>
      <c r="J639" s="18"/>
      <c r="K639" s="183"/>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Entidades Locales</v>
      </c>
      <c r="C640" s="85" t="str" cm="1">
        <f t="array" ref="C640">IFERROR(INDEX('03.Muestra'!$F$8:$F$42,SMALL(IF("Página Web"='03.Muestra'!$D$8:$D$42,ROW('03.Muestra'!$F$8:$F$42)-MIN(ROW('03.Muestra'!$D$8:$D$42))+1,""),ROW()-626)),"")</f>
        <v>https://www.comunidad.madrid/transparencia/entidades-locales</v>
      </c>
      <c r="D640" s="99" t="s">
        <v>93</v>
      </c>
      <c r="E640" s="79" t="str">
        <f t="shared" si="32"/>
        <v/>
      </c>
      <c r="F640" s="18"/>
      <c r="G640" s="18"/>
      <c r="H640" s="18"/>
      <c r="I640" s="18"/>
      <c r="J640" s="18"/>
      <c r="K640" s="183"/>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ref="D641:D661" si="33">IF(AND(B641&lt;&gt;"",C641&lt;&gt;""),"N/T","")</f>
        <v/>
      </c>
      <c r="E641" s="79" t="str">
        <f t="shared" si="32"/>
        <v/>
      </c>
      <c r="F641" s="18"/>
      <c r="G641" s="18"/>
      <c r="H641" s="18"/>
      <c r="I641" s="18"/>
      <c r="J641" s="18"/>
      <c r="K641" s="183"/>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3"/>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3"/>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3"/>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3"/>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3"/>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3"/>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3"/>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3"/>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3"/>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3"/>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3"/>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3"/>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3"/>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3"/>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3"/>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3"/>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3"/>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3"/>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3"/>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3"/>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3"/>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3"/>
      <c r="L663" s="18"/>
      <c r="M663" s="18"/>
      <c r="N663" s="18"/>
      <c r="O663" s="18"/>
      <c r="P663" s="18"/>
      <c r="Q663" s="18"/>
      <c r="R663" s="18"/>
      <c r="S663" s="18"/>
      <c r="T663" s="18"/>
      <c r="U663" s="18"/>
      <c r="V663" s="18"/>
      <c r="W663" s="18"/>
      <c r="X663" s="18"/>
      <c r="Y663" s="18"/>
    </row>
    <row r="664" spans="1:25" ht="29.25" customHeight="1">
      <c r="A664" s="172" t="s">
        <v>98</v>
      </c>
      <c r="B664" s="23" t="s">
        <v>90</v>
      </c>
      <c r="C664" s="24" t="s">
        <v>158</v>
      </c>
      <c r="D664" s="25" t="s">
        <v>100</v>
      </c>
      <c r="E664" s="93"/>
      <c r="K664" s="183"/>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https://www.comunidad.madrid/transparencia/</v>
      </c>
      <c r="D665" s="99" t="s">
        <v>91</v>
      </c>
      <c r="E665" s="79" t="str">
        <f t="shared" ref="E665:E699" si="34">IF(D665&lt;&gt;"",IF(AND(B665&lt;&gt;"",C665&lt;&gt;""),"","ERR"),"")</f>
        <v/>
      </c>
      <c r="F665" s="86" t="s">
        <v>101</v>
      </c>
      <c r="G665" s="87" t="s">
        <v>102</v>
      </c>
      <c r="H665" s="88" t="s">
        <v>103</v>
      </c>
      <c r="I665" s="89" t="s">
        <v>93</v>
      </c>
      <c r="J665" s="90" t="s">
        <v>91</v>
      </c>
      <c r="K665" s="178"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Aviso legal</v>
      </c>
      <c r="C666" s="85" t="str" cm="1">
        <f t="array" ref="C666">IFERROR(INDEX('03.Muestra'!$F$8:$F$42,SMALL(IF("Página Web"='03.Muestra'!$D$8:$D$42,ROW('03.Muestra'!$F$8:$F$42)-MIN(ROW('03.Muestra'!$D$8:$D$42))+1,""),ROW()-664)),"")</f>
        <v>https://www.comunidad.madrid/transparencia/aviso-legal</v>
      </c>
      <c r="D666" s="99" t="s">
        <v>91</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14</v>
      </c>
      <c r="K666" s="179">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Accesibilidad</v>
      </c>
      <c r="C667" s="85" t="str" cm="1">
        <f t="array" ref="C667">IFERROR(INDEX('03.Muestra'!$F$8:$F$42,SMALL(IF("Página Web"='03.Muestra'!$D$8:$D$42,ROW('03.Muestra'!$F$8:$F$42)-MIN(ROW('03.Muestra'!$D$8:$D$42))+1,""),ROW()-664)),"")</f>
        <v>https://www.comunidad.madrid/transparencia/declaracion-accesibilidad</v>
      </c>
      <c r="D667" s="99" t="s">
        <v>91</v>
      </c>
      <c r="E667" s="79" t="str">
        <f t="shared" si="34"/>
        <v/>
      </c>
      <c r="G667" s="18"/>
      <c r="H667" s="18"/>
      <c r="I667" s="18"/>
      <c r="J667" s="18"/>
      <c r="K667" s="183"/>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Tranparencia</v>
      </c>
      <c r="C668" s="85" t="str" cm="1">
        <f t="array" ref="C668">IFERROR(INDEX('03.Muestra'!$F$8:$F$42,SMALL(IF("Página Web"='03.Muestra'!$D$8:$D$42,ROW('03.Muestra'!$F$8:$F$42)-MIN(ROW('03.Muestra'!$D$8:$D$42))+1,""),ROW()-664)),"")</f>
        <v>https://www.comunidad.madrid/transparencia/que-es-transparencia</v>
      </c>
      <c r="D668" s="99" t="s">
        <v>91</v>
      </c>
      <c r="E668" s="79" t="str">
        <f t="shared" si="34"/>
        <v/>
      </c>
      <c r="G668" s="18"/>
      <c r="H668" s="18"/>
      <c r="I668" s="18"/>
      <c r="J668" s="18"/>
      <c r="K668" s="183"/>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Organización</v>
      </c>
      <c r="C669" s="85" t="str" cm="1">
        <f t="array" ref="C669">IFERROR(INDEX('03.Muestra'!$F$8:$F$42,SMALL(IF("Página Web"='03.Muestra'!$D$8:$D$42,ROW('03.Muestra'!$F$8:$F$42)-MIN(ROW('03.Muestra'!$D$8:$D$42))+1,""),ROW()-664)),"")</f>
        <v>https://www.comunidad.madrid/transparencia/organizacion-recursos/organizacion</v>
      </c>
      <c r="D669" s="99" t="s">
        <v>91</v>
      </c>
      <c r="E669" s="79" t="str">
        <f t="shared" si="34"/>
        <v/>
      </c>
      <c r="G669" s="18"/>
      <c r="H669" s="18"/>
      <c r="I669" s="18"/>
      <c r="J669" s="18"/>
      <c r="K669" s="183"/>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Quejas</v>
      </c>
      <c r="C670" s="85" t="str" cm="1">
        <f t="array" ref="C670">IFERROR(INDEX('03.Muestra'!$F$8:$F$42,SMALL(IF("Página Web"='03.Muestra'!$D$8:$D$42,ROW('03.Muestra'!$F$8:$F$42)-MIN(ROW('03.Muestra'!$D$8:$D$42))+1,""),ROW()-664)),"")</f>
        <v>https://www.comunidad.madrid/transparencia/quejas-y-reclamaciones</v>
      </c>
      <c r="D670" s="99" t="s">
        <v>91</v>
      </c>
      <c r="E670" s="79" t="str">
        <f t="shared" si="34"/>
        <v/>
      </c>
      <c r="G670" s="18"/>
      <c r="H670" s="18"/>
      <c r="I670" s="18"/>
      <c r="J670" s="18"/>
      <c r="K670" s="183"/>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Contratos</v>
      </c>
      <c r="C671" s="85" t="str" cm="1">
        <f t="array" ref="C671">IFERROR(INDEX('03.Muestra'!$F$8:$F$42,SMALL(IF("Página Web"='03.Muestra'!$D$8:$D$42,ROW('03.Muestra'!$F$8:$F$42)-MIN(ROW('03.Muestra'!$D$8:$D$42))+1,""),ROW()-664)),"")</f>
        <v>https://www.comunidad.madrid/transparencia/contratos</v>
      </c>
      <c r="D671" s="99" t="s">
        <v>91</v>
      </c>
      <c r="E671" s="79" t="str">
        <f t="shared" si="34"/>
        <v/>
      </c>
      <c r="F671" s="18"/>
      <c r="G671" s="18"/>
      <c r="H671" s="18"/>
      <c r="I671" s="18"/>
      <c r="J671" s="18"/>
      <c r="K671" s="183"/>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Consulta</v>
      </c>
      <c r="C672" s="85" t="str" cm="1">
        <f t="array" ref="C672">IFERROR(INDEX('03.Muestra'!$F$8:$F$42,SMALL(IF("Página Web"='03.Muestra'!$D$8:$D$42,ROW('03.Muestra'!$F$8:$F$42)-MIN(ROW('03.Muestra'!$D$8:$D$42))+1,""),ROW()-664)),"")</f>
        <v>https://www.comunidad.madrid/transparencia/normativa-planificacion/consulta-publica</v>
      </c>
      <c r="D672" s="99" t="s">
        <v>91</v>
      </c>
      <c r="E672" s="79" t="str">
        <f t="shared" si="34"/>
        <v/>
      </c>
      <c r="F672" s="18"/>
      <c r="G672" s="18"/>
      <c r="H672" s="18"/>
      <c r="I672" s="18"/>
      <c r="J672" s="18"/>
      <c r="K672" s="183"/>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Proyecto</v>
      </c>
      <c r="C673" s="85" t="str" cm="1">
        <f t="array" ref="C673">IFERROR(INDEX('03.Muestra'!$F$8:$F$42,SMALL(IF("Página Web"='03.Muestra'!$D$8:$D$42,ROW('03.Muestra'!$F$8:$F$42)-MIN(ROW('03.Muestra'!$D$8:$D$42))+1,""),ROW()-664)),"")</f>
        <v>https://www.comunidad.madrid/transparencia/proyecto-orden-que-se-crea-comision-farmacia-y-productos-sanitarios-cm-y-se-establece-su-composicion</v>
      </c>
      <c r="D673" s="99" t="s">
        <v>91</v>
      </c>
      <c r="E673" s="79" t="str">
        <f t="shared" si="34"/>
        <v/>
      </c>
      <c r="F673" s="18"/>
      <c r="G673" s="18"/>
      <c r="H673" s="18"/>
      <c r="I673" s="18"/>
      <c r="J673" s="18"/>
      <c r="K673" s="183"/>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Planes y Programas</v>
      </c>
      <c r="C674" s="85" t="str" cm="1">
        <f t="array" ref="C674">IFERROR(INDEX('03.Muestra'!$F$8:$F$42,SMALL(IF("Página Web"='03.Muestra'!$D$8:$D$42,ROW('03.Muestra'!$F$8:$F$42)-MIN(ROW('03.Muestra'!$D$8:$D$42))+1,""),ROW()-664)),"")</f>
        <v>https://www.comunidad.madrid/transparencia/normativa-planificacion/planes-programas</v>
      </c>
      <c r="D674" s="99" t="s">
        <v>91</v>
      </c>
      <c r="E674" s="79" t="str">
        <f t="shared" si="34"/>
        <v/>
      </c>
      <c r="F674" s="18"/>
      <c r="G674" s="18"/>
      <c r="H674" s="18"/>
      <c r="I674" s="18"/>
      <c r="J674" s="18"/>
      <c r="K674" s="183"/>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Estrategia</v>
      </c>
      <c r="C675" s="85" t="str" cm="1">
        <f t="array" ref="C675">IFERROR(INDEX('03.Muestra'!$F$8:$F$42,SMALL(IF("Página Web"='03.Muestra'!$D$8:$D$42,ROW('03.Muestra'!$F$8:$F$42)-MIN(ROW('03.Muestra'!$D$8:$D$42))+1,""),ROW()-664)),"")</f>
        <v>https://www.comunidad.madrid/transparencia/informacion-institucional/planes-programas/estrategia-seguridad-del-paciente-del-servicio-madrileno</v>
      </c>
      <c r="D675" s="99" t="s">
        <v>91</v>
      </c>
      <c r="E675" s="79" t="str">
        <f t="shared" si="34"/>
        <v/>
      </c>
      <c r="F675" s="18"/>
      <c r="G675" s="18"/>
      <c r="H675" s="18"/>
      <c r="I675" s="18"/>
      <c r="J675" s="18"/>
      <c r="K675" s="183"/>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Huella</v>
      </c>
      <c r="C676" s="85" t="str" cm="1">
        <f t="array" ref="C676">IFERROR(INDEX('03.Muestra'!$F$8:$F$42,SMALL(IF("Página Web"='03.Muestra'!$D$8:$D$42,ROW('03.Muestra'!$F$8:$F$42)-MIN(ROW('03.Muestra'!$D$8:$D$42))+1,""),ROW()-664)),"")</f>
        <v>https://www.comunidad.madrid/transparencia/normativa-planificacion/huella-normativa</v>
      </c>
      <c r="D676" s="99" t="s">
        <v>91</v>
      </c>
      <c r="E676" s="79" t="str">
        <f t="shared" si="34"/>
        <v/>
      </c>
      <c r="F676" s="18"/>
      <c r="G676" s="18"/>
      <c r="H676" s="18"/>
      <c r="I676" s="18"/>
      <c r="J676" s="18"/>
      <c r="K676" s="183"/>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Decreto</v>
      </c>
      <c r="C677" s="85" t="str" cm="1">
        <f t="array" ref="C677">IFERROR(INDEX('03.Muestra'!$F$8:$F$42,SMALL(IF("Página Web"='03.Muestra'!$D$8:$D$42,ROW('03.Muestra'!$F$8:$F$42)-MIN(ROW('03.Muestra'!$D$8:$D$42))+1,""),ROW()-664)),"")</f>
        <v>https://www.comunidad.madrid/transparencia/decreto-del-consejo-gobierno-que-se-establece-estructura-organica-consejeria-familia-juventud-y</v>
      </c>
      <c r="D677" s="99" t="s">
        <v>91</v>
      </c>
      <c r="E677" s="79" t="str">
        <f t="shared" si="34"/>
        <v/>
      </c>
      <c r="F677" s="18"/>
      <c r="G677" s="18"/>
      <c r="H677" s="18"/>
      <c r="I677" s="18"/>
      <c r="J677" s="18"/>
      <c r="K677" s="183"/>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Entidades Locales</v>
      </c>
      <c r="C678" s="85" t="str" cm="1">
        <f t="array" ref="C678">IFERROR(INDEX('03.Muestra'!$F$8:$F$42,SMALL(IF("Página Web"='03.Muestra'!$D$8:$D$42,ROW('03.Muestra'!$F$8:$F$42)-MIN(ROW('03.Muestra'!$D$8:$D$42))+1,""),ROW()-664)),"")</f>
        <v>https://www.comunidad.madrid/transparencia/entidades-locales</v>
      </c>
      <c r="D678" s="99" t="s">
        <v>91</v>
      </c>
      <c r="E678" s="79" t="str">
        <f t="shared" si="34"/>
        <v/>
      </c>
      <c r="F678" s="18"/>
      <c r="G678" s="18"/>
      <c r="H678" s="18"/>
      <c r="I678" s="18"/>
      <c r="J678" s="18"/>
      <c r="K678" s="183"/>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ref="D679:D699" si="35">IF(AND(B679&lt;&gt;"",C679&lt;&gt;""),"N/T","")</f>
        <v/>
      </c>
      <c r="E679" s="79" t="str">
        <f t="shared" si="34"/>
        <v/>
      </c>
      <c r="F679" s="18"/>
      <c r="G679" s="18"/>
      <c r="H679" s="18"/>
      <c r="I679" s="18"/>
      <c r="J679" s="18"/>
      <c r="K679" s="183"/>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3"/>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3"/>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3"/>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3"/>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3"/>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3"/>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3"/>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3"/>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3"/>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3"/>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3"/>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3"/>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3"/>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3"/>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3"/>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3"/>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3"/>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3"/>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3"/>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3"/>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3"/>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3"/>
      <c r="L701" s="18"/>
      <c r="M701" s="18"/>
      <c r="N701" s="18"/>
      <c r="O701" s="18"/>
      <c r="P701" s="18"/>
      <c r="Q701" s="18"/>
      <c r="R701" s="18"/>
      <c r="S701" s="18"/>
      <c r="T701" s="18"/>
      <c r="U701" s="18"/>
      <c r="V701" s="18"/>
      <c r="W701" s="18"/>
      <c r="X701" s="18"/>
      <c r="Y701" s="18"/>
    </row>
    <row r="702" spans="1:25" ht="29.25" customHeight="1">
      <c r="A702" s="172" t="s">
        <v>98</v>
      </c>
      <c r="B702" s="23" t="s">
        <v>90</v>
      </c>
      <c r="C702" s="24" t="s">
        <v>159</v>
      </c>
      <c r="D702" s="25" t="s">
        <v>100</v>
      </c>
      <c r="E702" s="93"/>
      <c r="J702" s="95"/>
      <c r="K702" s="183"/>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https://www.comunidad.madrid/transparencia/</v>
      </c>
      <c r="D703" s="99" t="s">
        <v>93</v>
      </c>
      <c r="E703" s="79" t="str">
        <f t="shared" ref="E703:E737" si="36">IF(D703&lt;&gt;"",IF(AND(B703&lt;&gt;"",C703&lt;&gt;""),"","ERR"),"")</f>
        <v/>
      </c>
      <c r="F703" s="86" t="s">
        <v>101</v>
      </c>
      <c r="G703" s="87" t="s">
        <v>102</v>
      </c>
      <c r="H703" s="88" t="s">
        <v>103</v>
      </c>
      <c r="I703" s="89" t="s">
        <v>93</v>
      </c>
      <c r="J703" s="90" t="s">
        <v>91</v>
      </c>
      <c r="K703" s="178"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Aviso legal</v>
      </c>
      <c r="C704" s="85" t="str" cm="1">
        <f t="array" ref="C704">IFERROR(INDEX('03.Muestra'!$F$8:$F$42,SMALL(IF("Página Web"='03.Muestra'!$D$8:$D$42,ROW('03.Muestra'!$F$8:$F$42)-MIN(ROW('03.Muestra'!$D$8:$D$42))+1,""),ROW()-702)),"")</f>
        <v>https://www.comunidad.madrid/transparencia/aviso-legal</v>
      </c>
      <c r="D704" s="99" t="s">
        <v>93</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14</v>
      </c>
      <c r="J704" s="91">
        <f ca="1">COUNTIF($D703:INDIRECT("$D" &amp;  SUM(ROW()-1,'03.Muestra'!$D$45)-1),J703)</f>
        <v>0</v>
      </c>
      <c r="K704" s="179">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Accesibilidad</v>
      </c>
      <c r="C705" s="85" t="str" cm="1">
        <f t="array" ref="C705">IFERROR(INDEX('03.Muestra'!$F$8:$F$42,SMALL(IF("Página Web"='03.Muestra'!$D$8:$D$42,ROW('03.Muestra'!$F$8:$F$42)-MIN(ROW('03.Muestra'!$D$8:$D$42))+1,""),ROW()-702)),"")</f>
        <v>https://www.comunidad.madrid/transparencia/declaracion-accesibilidad</v>
      </c>
      <c r="D705" s="99" t="s">
        <v>93</v>
      </c>
      <c r="E705" s="79" t="str">
        <f t="shared" si="36"/>
        <v/>
      </c>
      <c r="G705" s="18"/>
      <c r="H705" s="18"/>
      <c r="I705" s="18"/>
      <c r="J705" s="18"/>
      <c r="K705" s="183"/>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Tranparencia</v>
      </c>
      <c r="C706" s="85" t="str" cm="1">
        <f t="array" ref="C706">IFERROR(INDEX('03.Muestra'!$F$8:$F$42,SMALL(IF("Página Web"='03.Muestra'!$D$8:$D$42,ROW('03.Muestra'!$F$8:$F$42)-MIN(ROW('03.Muestra'!$D$8:$D$42))+1,""),ROW()-702)),"")</f>
        <v>https://www.comunidad.madrid/transparencia/que-es-transparencia</v>
      </c>
      <c r="D706" s="99" t="s">
        <v>93</v>
      </c>
      <c r="E706" s="79" t="str">
        <f t="shared" si="36"/>
        <v/>
      </c>
      <c r="G706" s="18"/>
      <c r="H706" s="18"/>
      <c r="I706" s="18"/>
      <c r="J706" s="18"/>
      <c r="K706" s="183"/>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Organización</v>
      </c>
      <c r="C707" s="85" t="str" cm="1">
        <f t="array" ref="C707">IFERROR(INDEX('03.Muestra'!$F$8:$F$42,SMALL(IF("Página Web"='03.Muestra'!$D$8:$D$42,ROW('03.Muestra'!$F$8:$F$42)-MIN(ROW('03.Muestra'!$D$8:$D$42))+1,""),ROW()-702)),"")</f>
        <v>https://www.comunidad.madrid/transparencia/organizacion-recursos/organizacion</v>
      </c>
      <c r="D707" s="99" t="s">
        <v>93</v>
      </c>
      <c r="E707" s="79" t="str">
        <f t="shared" si="36"/>
        <v/>
      </c>
      <c r="G707" s="18"/>
      <c r="H707" s="18"/>
      <c r="I707" s="18"/>
      <c r="J707" s="18"/>
      <c r="K707" s="183"/>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Quejas</v>
      </c>
      <c r="C708" s="85" t="str" cm="1">
        <f t="array" ref="C708">IFERROR(INDEX('03.Muestra'!$F$8:$F$42,SMALL(IF("Página Web"='03.Muestra'!$D$8:$D$42,ROW('03.Muestra'!$F$8:$F$42)-MIN(ROW('03.Muestra'!$D$8:$D$42))+1,""),ROW()-702)),"")</f>
        <v>https://www.comunidad.madrid/transparencia/quejas-y-reclamaciones</v>
      </c>
      <c r="D708" s="99" t="s">
        <v>93</v>
      </c>
      <c r="E708" s="79" t="str">
        <f t="shared" si="36"/>
        <v/>
      </c>
      <c r="G708" s="18"/>
      <c r="H708" s="18"/>
      <c r="I708" s="18"/>
      <c r="J708" s="18"/>
      <c r="K708" s="183"/>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Contratos</v>
      </c>
      <c r="C709" s="85" t="str" cm="1">
        <f t="array" ref="C709">IFERROR(INDEX('03.Muestra'!$F$8:$F$42,SMALL(IF("Página Web"='03.Muestra'!$D$8:$D$42,ROW('03.Muestra'!$F$8:$F$42)-MIN(ROW('03.Muestra'!$D$8:$D$42))+1,""),ROW()-702)),"")</f>
        <v>https://www.comunidad.madrid/transparencia/contratos</v>
      </c>
      <c r="D709" s="99" t="s">
        <v>93</v>
      </c>
      <c r="E709" s="79" t="str">
        <f t="shared" si="36"/>
        <v/>
      </c>
      <c r="F709" s="18"/>
      <c r="G709" s="18"/>
      <c r="H709" s="18"/>
      <c r="I709" s="18"/>
      <c r="J709" s="18"/>
      <c r="K709" s="183"/>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Consulta</v>
      </c>
      <c r="C710" s="85" t="str" cm="1">
        <f t="array" ref="C710">IFERROR(INDEX('03.Muestra'!$F$8:$F$42,SMALL(IF("Página Web"='03.Muestra'!$D$8:$D$42,ROW('03.Muestra'!$F$8:$F$42)-MIN(ROW('03.Muestra'!$D$8:$D$42))+1,""),ROW()-702)),"")</f>
        <v>https://www.comunidad.madrid/transparencia/normativa-planificacion/consulta-publica</v>
      </c>
      <c r="D710" s="99" t="s">
        <v>93</v>
      </c>
      <c r="E710" s="79" t="str">
        <f t="shared" si="36"/>
        <v/>
      </c>
      <c r="F710" s="18"/>
      <c r="G710" s="18"/>
      <c r="H710" s="18"/>
      <c r="I710" s="18"/>
      <c r="J710" s="18"/>
      <c r="K710" s="183"/>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Proyecto</v>
      </c>
      <c r="C711" s="85" t="str" cm="1">
        <f t="array" ref="C711">IFERROR(INDEX('03.Muestra'!$F$8:$F$42,SMALL(IF("Página Web"='03.Muestra'!$D$8:$D$42,ROW('03.Muestra'!$F$8:$F$42)-MIN(ROW('03.Muestra'!$D$8:$D$42))+1,""),ROW()-702)),"")</f>
        <v>https://www.comunidad.madrid/transparencia/proyecto-orden-que-se-crea-comision-farmacia-y-productos-sanitarios-cm-y-se-establece-su-composicion</v>
      </c>
      <c r="D711" s="99" t="s">
        <v>93</v>
      </c>
      <c r="E711" s="79" t="str">
        <f t="shared" si="36"/>
        <v/>
      </c>
      <c r="F711" s="18"/>
      <c r="G711" s="18"/>
      <c r="H711" s="18"/>
      <c r="I711" s="18"/>
      <c r="J711" s="18"/>
      <c r="K711" s="183"/>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Planes y Programas</v>
      </c>
      <c r="C712" s="85" t="str" cm="1">
        <f t="array" ref="C712">IFERROR(INDEX('03.Muestra'!$F$8:$F$42,SMALL(IF("Página Web"='03.Muestra'!$D$8:$D$42,ROW('03.Muestra'!$F$8:$F$42)-MIN(ROW('03.Muestra'!$D$8:$D$42))+1,""),ROW()-702)),"")</f>
        <v>https://www.comunidad.madrid/transparencia/normativa-planificacion/planes-programas</v>
      </c>
      <c r="D712" s="99" t="s">
        <v>93</v>
      </c>
      <c r="E712" s="79" t="str">
        <f t="shared" si="36"/>
        <v/>
      </c>
      <c r="F712" s="18"/>
      <c r="G712" s="18"/>
      <c r="H712" s="18"/>
      <c r="I712" s="18"/>
      <c r="J712" s="18"/>
      <c r="K712" s="183"/>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Estrategia</v>
      </c>
      <c r="C713" s="85" t="str" cm="1">
        <f t="array" ref="C713">IFERROR(INDEX('03.Muestra'!$F$8:$F$42,SMALL(IF("Página Web"='03.Muestra'!$D$8:$D$42,ROW('03.Muestra'!$F$8:$F$42)-MIN(ROW('03.Muestra'!$D$8:$D$42))+1,""),ROW()-702)),"")</f>
        <v>https://www.comunidad.madrid/transparencia/informacion-institucional/planes-programas/estrategia-seguridad-del-paciente-del-servicio-madrileno</v>
      </c>
      <c r="D713" s="99" t="s">
        <v>93</v>
      </c>
      <c r="E713" s="79" t="str">
        <f t="shared" si="36"/>
        <v/>
      </c>
      <c r="F713" s="18"/>
      <c r="G713" s="18"/>
      <c r="H713" s="18"/>
      <c r="I713" s="18"/>
      <c r="J713" s="18"/>
      <c r="K713" s="183"/>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Huella</v>
      </c>
      <c r="C714" s="85" t="str" cm="1">
        <f t="array" ref="C714">IFERROR(INDEX('03.Muestra'!$F$8:$F$42,SMALL(IF("Página Web"='03.Muestra'!$D$8:$D$42,ROW('03.Muestra'!$F$8:$F$42)-MIN(ROW('03.Muestra'!$D$8:$D$42))+1,""),ROW()-702)),"")</f>
        <v>https://www.comunidad.madrid/transparencia/normativa-planificacion/huella-normativa</v>
      </c>
      <c r="D714" s="99" t="s">
        <v>93</v>
      </c>
      <c r="E714" s="79" t="str">
        <f t="shared" si="36"/>
        <v/>
      </c>
      <c r="F714" s="18"/>
      <c r="G714" s="18"/>
      <c r="H714" s="18"/>
      <c r="I714" s="18"/>
      <c r="J714" s="18"/>
      <c r="K714" s="183"/>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Decreto</v>
      </c>
      <c r="C715" s="85" t="str" cm="1">
        <f t="array" ref="C715">IFERROR(INDEX('03.Muestra'!$F$8:$F$42,SMALL(IF("Página Web"='03.Muestra'!$D$8:$D$42,ROW('03.Muestra'!$F$8:$F$42)-MIN(ROW('03.Muestra'!$D$8:$D$42))+1,""),ROW()-702)),"")</f>
        <v>https://www.comunidad.madrid/transparencia/decreto-del-consejo-gobierno-que-se-establece-estructura-organica-consejeria-familia-juventud-y</v>
      </c>
      <c r="D715" s="99" t="s">
        <v>93</v>
      </c>
      <c r="E715" s="79" t="str">
        <f t="shared" si="36"/>
        <v/>
      </c>
      <c r="F715" s="18"/>
      <c r="G715" s="18"/>
      <c r="H715" s="18"/>
      <c r="I715" s="18"/>
      <c r="J715" s="18"/>
      <c r="K715" s="183"/>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Entidades Locales</v>
      </c>
      <c r="C716" s="85" t="str" cm="1">
        <f t="array" ref="C716">IFERROR(INDEX('03.Muestra'!$F$8:$F$42,SMALL(IF("Página Web"='03.Muestra'!$D$8:$D$42,ROW('03.Muestra'!$F$8:$F$42)-MIN(ROW('03.Muestra'!$D$8:$D$42))+1,""),ROW()-702)),"")</f>
        <v>https://www.comunidad.madrid/transparencia/entidades-locales</v>
      </c>
      <c r="D716" s="99" t="s">
        <v>93</v>
      </c>
      <c r="E716" s="79" t="str">
        <f t="shared" si="36"/>
        <v/>
      </c>
      <c r="F716" s="18"/>
      <c r="G716" s="18"/>
      <c r="H716" s="18"/>
      <c r="I716" s="18"/>
      <c r="J716" s="18"/>
      <c r="K716" s="183"/>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ref="D717:D737" si="37">IF(AND(B717&lt;&gt;"",C717&lt;&gt;""),"N/T","")</f>
        <v/>
      </c>
      <c r="E717" s="79" t="str">
        <f t="shared" si="36"/>
        <v/>
      </c>
      <c r="F717" s="18"/>
      <c r="G717" s="18"/>
      <c r="H717" s="18"/>
      <c r="I717" s="18"/>
      <c r="J717" s="18"/>
      <c r="K717" s="183"/>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3"/>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3"/>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3"/>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3"/>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3"/>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3"/>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3"/>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3"/>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3"/>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3"/>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3"/>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3"/>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3"/>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3"/>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3"/>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3"/>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3"/>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3"/>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3"/>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3"/>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3"/>
      <c r="L738" s="18"/>
      <c r="M738" s="18"/>
      <c r="N738" s="18"/>
      <c r="O738" s="18"/>
      <c r="P738" s="18"/>
      <c r="Q738" s="18"/>
      <c r="R738" s="18"/>
      <c r="S738" s="18"/>
      <c r="T738" s="18"/>
      <c r="U738" s="18"/>
      <c r="V738" s="18"/>
      <c r="W738" s="18"/>
      <c r="X738" s="18"/>
      <c r="Y738" s="18"/>
    </row>
    <row r="739" spans="1:25" ht="12" customHeight="1">
      <c r="B739" s="96"/>
      <c r="C739" s="18"/>
      <c r="D739" s="79"/>
      <c r="E739" s="83"/>
      <c r="K739" s="183"/>
      <c r="L739" s="18"/>
      <c r="M739" s="18"/>
      <c r="N739" s="18"/>
      <c r="O739" s="18"/>
      <c r="P739" s="18"/>
      <c r="Q739" s="18"/>
      <c r="R739" s="18"/>
      <c r="S739" s="18"/>
      <c r="T739" s="18"/>
      <c r="U739" s="18"/>
      <c r="V739" s="18"/>
      <c r="W739" s="18"/>
      <c r="X739" s="18"/>
      <c r="Y739" s="18"/>
    </row>
    <row r="740" spans="1:25" ht="29.25" customHeight="1">
      <c r="A740" s="172" t="s">
        <v>98</v>
      </c>
      <c r="B740" s="23" t="s">
        <v>90</v>
      </c>
      <c r="C740" s="24" t="s">
        <v>160</v>
      </c>
      <c r="D740" s="25" t="s">
        <v>100</v>
      </c>
      <c r="E740" s="93"/>
      <c r="K740" s="183"/>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https://www.comunidad.madrid/transparencia/</v>
      </c>
      <c r="D741" s="99" t="s">
        <v>91</v>
      </c>
      <c r="E741" s="79" t="str">
        <f t="shared" ref="E741:E775" si="38">IF(D741&lt;&gt;"",IF(AND(B741&lt;&gt;"",C741&lt;&gt;""),"","ERR"),"")</f>
        <v/>
      </c>
      <c r="F741" s="86" t="s">
        <v>101</v>
      </c>
      <c r="G741" s="87" t="s">
        <v>102</v>
      </c>
      <c r="H741" s="88" t="s">
        <v>103</v>
      </c>
      <c r="I741" s="89" t="s">
        <v>93</v>
      </c>
      <c r="J741" s="90" t="s">
        <v>91</v>
      </c>
      <c r="K741" s="178" t="s">
        <v>97</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Aviso legal</v>
      </c>
      <c r="C742" s="85" t="str" cm="1">
        <f t="array" ref="C742">IFERROR(INDEX('03.Muestra'!$F$8:$F$42,SMALL(IF("Página Web"='03.Muestra'!$D$8:$D$42,ROW('03.Muestra'!$F$8:$F$42)-MIN(ROW('03.Muestra'!$D$8:$D$42))+1,""),ROW()-740)),"")</f>
        <v>https://www.comunidad.madrid/transparencia/aviso-legal</v>
      </c>
      <c r="D742" s="99" t="s">
        <v>91</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14</v>
      </c>
      <c r="K742" s="179">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Accesibilidad</v>
      </c>
      <c r="C743" s="85" t="str" cm="1">
        <f t="array" ref="C743">IFERROR(INDEX('03.Muestra'!$F$8:$F$42,SMALL(IF("Página Web"='03.Muestra'!$D$8:$D$42,ROW('03.Muestra'!$F$8:$F$42)-MIN(ROW('03.Muestra'!$D$8:$D$42))+1,""),ROW()-740)),"")</f>
        <v>https://www.comunidad.madrid/transparencia/declaracion-accesibilidad</v>
      </c>
      <c r="D743" s="99" t="s">
        <v>91</v>
      </c>
      <c r="E743" s="79" t="str">
        <f t="shared" si="38"/>
        <v/>
      </c>
      <c r="F743" s="18"/>
      <c r="G743" s="18"/>
      <c r="H743" s="18"/>
      <c r="I743" s="18"/>
      <c r="J743" s="18"/>
      <c r="K743" s="183"/>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Tranparencia</v>
      </c>
      <c r="C744" s="85" t="str" cm="1">
        <f t="array" ref="C744">IFERROR(INDEX('03.Muestra'!$F$8:$F$42,SMALL(IF("Página Web"='03.Muestra'!$D$8:$D$42,ROW('03.Muestra'!$F$8:$F$42)-MIN(ROW('03.Muestra'!$D$8:$D$42))+1,""),ROW()-740)),"")</f>
        <v>https://www.comunidad.madrid/transparencia/que-es-transparencia</v>
      </c>
      <c r="D744" s="99" t="s">
        <v>91</v>
      </c>
      <c r="E744" s="79" t="str">
        <f t="shared" si="38"/>
        <v/>
      </c>
      <c r="F744" s="18"/>
      <c r="G744" s="18"/>
      <c r="H744" s="18"/>
      <c r="I744" s="18"/>
      <c r="K744" s="183"/>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Organización</v>
      </c>
      <c r="C745" s="85" t="str" cm="1">
        <f t="array" ref="C745">IFERROR(INDEX('03.Muestra'!$F$8:$F$42,SMALL(IF("Página Web"='03.Muestra'!$D$8:$D$42,ROW('03.Muestra'!$F$8:$F$42)-MIN(ROW('03.Muestra'!$D$8:$D$42))+1,""),ROW()-740)),"")</f>
        <v>https://www.comunidad.madrid/transparencia/organizacion-recursos/organizacion</v>
      </c>
      <c r="D745" s="99" t="s">
        <v>91</v>
      </c>
      <c r="E745" s="79" t="str">
        <f t="shared" si="38"/>
        <v/>
      </c>
      <c r="F745" s="78"/>
      <c r="G745" s="18"/>
      <c r="H745" s="18"/>
      <c r="I745" s="18"/>
      <c r="K745" s="183"/>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Quejas</v>
      </c>
      <c r="C746" s="85" t="str" cm="1">
        <f t="array" ref="C746">IFERROR(INDEX('03.Muestra'!$F$8:$F$42,SMALL(IF("Página Web"='03.Muestra'!$D$8:$D$42,ROW('03.Muestra'!$F$8:$F$42)-MIN(ROW('03.Muestra'!$D$8:$D$42))+1,""),ROW()-740)),"")</f>
        <v>https://www.comunidad.madrid/transparencia/quejas-y-reclamaciones</v>
      </c>
      <c r="D746" s="99" t="s">
        <v>91</v>
      </c>
      <c r="E746" s="79" t="str">
        <f t="shared" si="38"/>
        <v/>
      </c>
      <c r="F746" s="18"/>
      <c r="G746" s="18"/>
      <c r="H746" s="18"/>
      <c r="I746" s="18"/>
      <c r="K746" s="183"/>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Contratos</v>
      </c>
      <c r="C747" s="85" t="str" cm="1">
        <f t="array" ref="C747">IFERROR(INDEX('03.Muestra'!$F$8:$F$42,SMALL(IF("Página Web"='03.Muestra'!$D$8:$D$42,ROW('03.Muestra'!$F$8:$F$42)-MIN(ROW('03.Muestra'!$D$8:$D$42))+1,""),ROW()-740)),"")</f>
        <v>https://www.comunidad.madrid/transparencia/contratos</v>
      </c>
      <c r="D747" s="99" t="s">
        <v>91</v>
      </c>
      <c r="E747" s="79" t="str">
        <f t="shared" si="38"/>
        <v/>
      </c>
      <c r="F747" s="18"/>
      <c r="G747" s="18"/>
      <c r="H747" s="18"/>
      <c r="I747" s="18"/>
      <c r="J747" s="18"/>
      <c r="K747" s="183"/>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Consulta</v>
      </c>
      <c r="C748" s="85" t="str" cm="1">
        <f t="array" ref="C748">IFERROR(INDEX('03.Muestra'!$F$8:$F$42,SMALL(IF("Página Web"='03.Muestra'!$D$8:$D$42,ROW('03.Muestra'!$F$8:$F$42)-MIN(ROW('03.Muestra'!$D$8:$D$42))+1,""),ROW()-740)),"")</f>
        <v>https://www.comunidad.madrid/transparencia/normativa-planificacion/consulta-publica</v>
      </c>
      <c r="D748" s="99" t="s">
        <v>91</v>
      </c>
      <c r="E748" s="79" t="str">
        <f t="shared" si="38"/>
        <v/>
      </c>
      <c r="F748" s="18"/>
      <c r="G748" s="18"/>
      <c r="H748" s="18"/>
      <c r="I748" s="18"/>
      <c r="J748" s="18"/>
      <c r="K748" s="183"/>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Proyecto</v>
      </c>
      <c r="C749" s="85" t="str" cm="1">
        <f t="array" ref="C749">IFERROR(INDEX('03.Muestra'!$F$8:$F$42,SMALL(IF("Página Web"='03.Muestra'!$D$8:$D$42,ROW('03.Muestra'!$F$8:$F$42)-MIN(ROW('03.Muestra'!$D$8:$D$42))+1,""),ROW()-740)),"")</f>
        <v>https://www.comunidad.madrid/transparencia/proyecto-orden-que-se-crea-comision-farmacia-y-productos-sanitarios-cm-y-se-establece-su-composicion</v>
      </c>
      <c r="D749" s="99" t="s">
        <v>91</v>
      </c>
      <c r="E749" s="79" t="str">
        <f t="shared" si="38"/>
        <v/>
      </c>
      <c r="F749" s="18"/>
      <c r="G749" s="18"/>
      <c r="H749" s="18"/>
      <c r="I749" s="18"/>
      <c r="J749" s="18"/>
      <c r="K749" s="183"/>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Planes y Programas</v>
      </c>
      <c r="C750" s="85" t="str" cm="1">
        <f t="array" ref="C750">IFERROR(INDEX('03.Muestra'!$F$8:$F$42,SMALL(IF("Página Web"='03.Muestra'!$D$8:$D$42,ROW('03.Muestra'!$F$8:$F$42)-MIN(ROW('03.Muestra'!$D$8:$D$42))+1,""),ROW()-740)),"")</f>
        <v>https://www.comunidad.madrid/transparencia/normativa-planificacion/planes-programas</v>
      </c>
      <c r="D750" s="99" t="s">
        <v>91</v>
      </c>
      <c r="E750" s="79" t="str">
        <f t="shared" si="38"/>
        <v/>
      </c>
      <c r="F750" s="18"/>
      <c r="G750" s="18"/>
      <c r="H750" s="18"/>
      <c r="I750" s="18"/>
      <c r="J750" s="18"/>
      <c r="K750" s="183"/>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Estrategia</v>
      </c>
      <c r="C751" s="85" t="str" cm="1">
        <f t="array" ref="C751">IFERROR(INDEX('03.Muestra'!$F$8:$F$42,SMALL(IF("Página Web"='03.Muestra'!$D$8:$D$42,ROW('03.Muestra'!$F$8:$F$42)-MIN(ROW('03.Muestra'!$D$8:$D$42))+1,""),ROW()-740)),"")</f>
        <v>https://www.comunidad.madrid/transparencia/informacion-institucional/planes-programas/estrategia-seguridad-del-paciente-del-servicio-madrileno</v>
      </c>
      <c r="D751" s="99" t="s">
        <v>91</v>
      </c>
      <c r="E751" s="79" t="str">
        <f t="shared" si="38"/>
        <v/>
      </c>
      <c r="F751" s="18"/>
      <c r="G751" s="18"/>
      <c r="H751" s="18"/>
      <c r="I751" s="18"/>
      <c r="J751" s="18"/>
      <c r="K751" s="183"/>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Huella</v>
      </c>
      <c r="C752" s="85" t="str" cm="1">
        <f t="array" ref="C752">IFERROR(INDEX('03.Muestra'!$F$8:$F$42,SMALL(IF("Página Web"='03.Muestra'!$D$8:$D$42,ROW('03.Muestra'!$F$8:$F$42)-MIN(ROW('03.Muestra'!$D$8:$D$42))+1,""),ROW()-740)),"")</f>
        <v>https://www.comunidad.madrid/transparencia/normativa-planificacion/huella-normativa</v>
      </c>
      <c r="D752" s="99" t="s">
        <v>91</v>
      </c>
      <c r="E752" s="79" t="str">
        <f t="shared" si="38"/>
        <v/>
      </c>
      <c r="F752" s="18"/>
      <c r="G752" s="18"/>
      <c r="H752" s="18"/>
      <c r="I752" s="18"/>
      <c r="J752" s="18"/>
      <c r="K752" s="183"/>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Decreto</v>
      </c>
      <c r="C753" s="85" t="str" cm="1">
        <f t="array" ref="C753">IFERROR(INDEX('03.Muestra'!$F$8:$F$42,SMALL(IF("Página Web"='03.Muestra'!$D$8:$D$42,ROW('03.Muestra'!$F$8:$F$42)-MIN(ROW('03.Muestra'!$D$8:$D$42))+1,""),ROW()-740)),"")</f>
        <v>https://www.comunidad.madrid/transparencia/decreto-del-consejo-gobierno-que-se-establece-estructura-organica-consejeria-familia-juventud-y</v>
      </c>
      <c r="D753" s="99" t="s">
        <v>91</v>
      </c>
      <c r="E753" s="79" t="str">
        <f t="shared" si="38"/>
        <v/>
      </c>
      <c r="F753" s="18"/>
      <c r="G753" s="18"/>
      <c r="H753" s="18"/>
      <c r="I753" s="18"/>
      <c r="J753" s="18"/>
      <c r="K753" s="183"/>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Entidades Locales</v>
      </c>
      <c r="C754" s="85" t="str" cm="1">
        <f t="array" ref="C754">IFERROR(INDEX('03.Muestra'!$F$8:$F$42,SMALL(IF("Página Web"='03.Muestra'!$D$8:$D$42,ROW('03.Muestra'!$F$8:$F$42)-MIN(ROW('03.Muestra'!$D$8:$D$42))+1,""),ROW()-740)),"")</f>
        <v>https://www.comunidad.madrid/transparencia/entidades-locales</v>
      </c>
      <c r="D754" s="99" t="s">
        <v>91</v>
      </c>
      <c r="E754" s="79" t="str">
        <f t="shared" si="38"/>
        <v/>
      </c>
      <c r="F754" s="18"/>
      <c r="G754" s="18"/>
      <c r="H754" s="18"/>
      <c r="I754" s="18"/>
      <c r="J754" s="18"/>
      <c r="K754" s="183"/>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ref="D755:D775" si="39">IF(AND(B755&lt;&gt;"",C755&lt;&gt;""),"N/T","")</f>
        <v/>
      </c>
      <c r="E755" s="79" t="str">
        <f t="shared" si="38"/>
        <v/>
      </c>
      <c r="F755" s="18"/>
      <c r="G755" s="18"/>
      <c r="H755" s="18"/>
      <c r="I755" s="18"/>
      <c r="J755" s="18"/>
      <c r="K755" s="183"/>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3"/>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3"/>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3"/>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3"/>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3"/>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3"/>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3"/>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3"/>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3"/>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3"/>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3"/>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3"/>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3"/>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3"/>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3"/>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3"/>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3"/>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3"/>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3"/>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3"/>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3"/>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3"/>
      <c r="L777" s="18"/>
      <c r="M777" s="18"/>
      <c r="N777" s="18"/>
      <c r="O777" s="18"/>
      <c r="P777" s="18"/>
      <c r="Q777" s="18"/>
      <c r="R777" s="18"/>
      <c r="S777" s="18"/>
      <c r="T777" s="18"/>
      <c r="U777" s="18"/>
      <c r="V777" s="18"/>
      <c r="W777" s="18"/>
      <c r="X777" s="18"/>
      <c r="Y777" s="18"/>
    </row>
    <row r="778" spans="1:25" ht="29.25" customHeight="1">
      <c r="A778" s="172" t="s">
        <v>98</v>
      </c>
      <c r="B778" s="23" t="s">
        <v>90</v>
      </c>
      <c r="C778" s="24" t="s">
        <v>161</v>
      </c>
      <c r="D778" s="25" t="s">
        <v>100</v>
      </c>
      <c r="E778" s="93"/>
      <c r="K778" s="183"/>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https://www.comunidad.madrid/transparencia/</v>
      </c>
      <c r="D779" s="99" t="s">
        <v>91</v>
      </c>
      <c r="E779" s="79" t="str">
        <f t="shared" ref="E779:E813" si="40">IF(D779&lt;&gt;"",IF(AND(B779&lt;&gt;"",C779&lt;&gt;""),"","ERR"),"")</f>
        <v/>
      </c>
      <c r="F779" s="86" t="s">
        <v>101</v>
      </c>
      <c r="G779" s="87" t="s">
        <v>102</v>
      </c>
      <c r="H779" s="88" t="s">
        <v>103</v>
      </c>
      <c r="I779" s="89" t="s">
        <v>93</v>
      </c>
      <c r="J779" s="90" t="s">
        <v>91</v>
      </c>
      <c r="K779" s="178" t="s">
        <v>97</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Aviso legal</v>
      </c>
      <c r="C780" s="85" t="str" cm="1">
        <f t="array" ref="C780">IFERROR(INDEX('03.Muestra'!$F$8:$F$42,SMALL(IF("Página Web"='03.Muestra'!$D$8:$D$42,ROW('03.Muestra'!$F$8:$F$42)-MIN(ROW('03.Muestra'!$D$8:$D$42))+1,""),ROW()-778)),"")</f>
        <v>https://www.comunidad.madrid/transparencia/aviso-legal</v>
      </c>
      <c r="D780" s="99" t="s">
        <v>91</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14</v>
      </c>
      <c r="K780" s="179">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Accesibilidad</v>
      </c>
      <c r="C781" s="85" t="str" cm="1">
        <f t="array" ref="C781">IFERROR(INDEX('03.Muestra'!$F$8:$F$42,SMALL(IF("Página Web"='03.Muestra'!$D$8:$D$42,ROW('03.Muestra'!$F$8:$F$42)-MIN(ROW('03.Muestra'!$D$8:$D$42))+1,""),ROW()-778)),"")</f>
        <v>https://www.comunidad.madrid/transparencia/declaracion-accesibilidad</v>
      </c>
      <c r="D781" s="99" t="s">
        <v>91</v>
      </c>
      <c r="E781" s="79" t="str">
        <f t="shared" si="40"/>
        <v/>
      </c>
      <c r="G781" s="18"/>
      <c r="H781" s="18"/>
      <c r="I781" s="18"/>
      <c r="J781" s="18"/>
      <c r="K781" s="183"/>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Tranparencia</v>
      </c>
      <c r="C782" s="85" t="str" cm="1">
        <f t="array" ref="C782">IFERROR(INDEX('03.Muestra'!$F$8:$F$42,SMALL(IF("Página Web"='03.Muestra'!$D$8:$D$42,ROW('03.Muestra'!$F$8:$F$42)-MIN(ROW('03.Muestra'!$D$8:$D$42))+1,""),ROW()-778)),"")</f>
        <v>https://www.comunidad.madrid/transparencia/que-es-transparencia</v>
      </c>
      <c r="D782" s="99" t="s">
        <v>91</v>
      </c>
      <c r="E782" s="79" t="str">
        <f t="shared" si="40"/>
        <v/>
      </c>
      <c r="G782" s="18"/>
      <c r="H782" s="18"/>
      <c r="I782" s="18"/>
      <c r="J782" s="18"/>
      <c r="K782" s="183"/>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Organización</v>
      </c>
      <c r="C783" s="85" t="str" cm="1">
        <f t="array" ref="C783">IFERROR(INDEX('03.Muestra'!$F$8:$F$42,SMALL(IF("Página Web"='03.Muestra'!$D$8:$D$42,ROW('03.Muestra'!$F$8:$F$42)-MIN(ROW('03.Muestra'!$D$8:$D$42))+1,""),ROW()-778)),"")</f>
        <v>https://www.comunidad.madrid/transparencia/organizacion-recursos/organizacion</v>
      </c>
      <c r="D783" s="99" t="s">
        <v>91</v>
      </c>
      <c r="E783" s="79" t="str">
        <f t="shared" si="40"/>
        <v/>
      </c>
      <c r="G783" s="18"/>
      <c r="H783" s="18"/>
      <c r="I783" s="18"/>
      <c r="J783" s="18"/>
      <c r="K783" s="183"/>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Quejas</v>
      </c>
      <c r="C784" s="85" t="str" cm="1">
        <f t="array" ref="C784">IFERROR(INDEX('03.Muestra'!$F$8:$F$42,SMALL(IF("Página Web"='03.Muestra'!$D$8:$D$42,ROW('03.Muestra'!$F$8:$F$42)-MIN(ROW('03.Muestra'!$D$8:$D$42))+1,""),ROW()-778)),"")</f>
        <v>https://www.comunidad.madrid/transparencia/quejas-y-reclamaciones</v>
      </c>
      <c r="D784" s="99" t="s">
        <v>91</v>
      </c>
      <c r="E784" s="79" t="str">
        <f t="shared" si="40"/>
        <v/>
      </c>
      <c r="G784" s="18"/>
      <c r="H784" s="18"/>
      <c r="I784" s="18"/>
      <c r="J784" s="18"/>
      <c r="K784" s="183"/>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Contratos</v>
      </c>
      <c r="C785" s="85" t="str" cm="1">
        <f t="array" ref="C785">IFERROR(INDEX('03.Muestra'!$F$8:$F$42,SMALL(IF("Página Web"='03.Muestra'!$D$8:$D$42,ROW('03.Muestra'!$F$8:$F$42)-MIN(ROW('03.Muestra'!$D$8:$D$42))+1,""),ROW()-778)),"")</f>
        <v>https://www.comunidad.madrid/transparencia/contratos</v>
      </c>
      <c r="D785" s="99" t="s">
        <v>91</v>
      </c>
      <c r="E785" s="79" t="str">
        <f t="shared" si="40"/>
        <v/>
      </c>
      <c r="F785" s="18"/>
      <c r="G785" s="18"/>
      <c r="H785" s="18"/>
      <c r="I785" s="18"/>
      <c r="J785" s="18"/>
      <c r="K785" s="183"/>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Consulta</v>
      </c>
      <c r="C786" s="85" t="str" cm="1">
        <f t="array" ref="C786">IFERROR(INDEX('03.Muestra'!$F$8:$F$42,SMALL(IF("Página Web"='03.Muestra'!$D$8:$D$42,ROW('03.Muestra'!$F$8:$F$42)-MIN(ROW('03.Muestra'!$D$8:$D$42))+1,""),ROW()-778)),"")</f>
        <v>https://www.comunidad.madrid/transparencia/normativa-planificacion/consulta-publica</v>
      </c>
      <c r="D786" s="99" t="s">
        <v>91</v>
      </c>
      <c r="E786" s="79" t="str">
        <f t="shared" si="40"/>
        <v/>
      </c>
      <c r="F786" s="18"/>
      <c r="G786" s="18"/>
      <c r="H786" s="18"/>
      <c r="I786" s="18"/>
      <c r="J786" s="18"/>
      <c r="K786" s="183"/>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Proyecto</v>
      </c>
      <c r="C787" s="85" t="str" cm="1">
        <f t="array" ref="C787">IFERROR(INDEX('03.Muestra'!$F$8:$F$42,SMALL(IF("Página Web"='03.Muestra'!$D$8:$D$42,ROW('03.Muestra'!$F$8:$F$42)-MIN(ROW('03.Muestra'!$D$8:$D$42))+1,""),ROW()-778)),"")</f>
        <v>https://www.comunidad.madrid/transparencia/proyecto-orden-que-se-crea-comision-farmacia-y-productos-sanitarios-cm-y-se-establece-su-composicion</v>
      </c>
      <c r="D787" s="99" t="s">
        <v>91</v>
      </c>
      <c r="E787" s="79" t="str">
        <f t="shared" si="40"/>
        <v/>
      </c>
      <c r="F787" s="18"/>
      <c r="G787" s="18"/>
      <c r="H787" s="18"/>
      <c r="I787" s="18"/>
      <c r="J787" s="18"/>
      <c r="K787" s="183"/>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Planes y Programas</v>
      </c>
      <c r="C788" s="85" t="str" cm="1">
        <f t="array" ref="C788">IFERROR(INDEX('03.Muestra'!$F$8:$F$42,SMALL(IF("Página Web"='03.Muestra'!$D$8:$D$42,ROW('03.Muestra'!$F$8:$F$42)-MIN(ROW('03.Muestra'!$D$8:$D$42))+1,""),ROW()-778)),"")</f>
        <v>https://www.comunidad.madrid/transparencia/normativa-planificacion/planes-programas</v>
      </c>
      <c r="D788" s="99" t="s">
        <v>91</v>
      </c>
      <c r="E788" s="79" t="str">
        <f t="shared" si="40"/>
        <v/>
      </c>
      <c r="F788" s="18"/>
      <c r="G788" s="18"/>
      <c r="H788" s="18"/>
      <c r="I788" s="18"/>
      <c r="J788" s="18"/>
      <c r="K788" s="183"/>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Estrategia</v>
      </c>
      <c r="C789" s="85" t="str" cm="1">
        <f t="array" ref="C789">IFERROR(INDEX('03.Muestra'!$F$8:$F$42,SMALL(IF("Página Web"='03.Muestra'!$D$8:$D$42,ROW('03.Muestra'!$F$8:$F$42)-MIN(ROW('03.Muestra'!$D$8:$D$42))+1,""),ROW()-778)),"")</f>
        <v>https://www.comunidad.madrid/transparencia/informacion-institucional/planes-programas/estrategia-seguridad-del-paciente-del-servicio-madrileno</v>
      </c>
      <c r="D789" s="99" t="s">
        <v>91</v>
      </c>
      <c r="E789" s="79" t="str">
        <f t="shared" si="40"/>
        <v/>
      </c>
      <c r="F789" s="18"/>
      <c r="G789" s="18"/>
      <c r="H789" s="18"/>
      <c r="I789" s="18"/>
      <c r="J789" s="18"/>
      <c r="K789" s="183"/>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Huella</v>
      </c>
      <c r="C790" s="85" t="str" cm="1">
        <f t="array" ref="C790">IFERROR(INDEX('03.Muestra'!$F$8:$F$42,SMALL(IF("Página Web"='03.Muestra'!$D$8:$D$42,ROW('03.Muestra'!$F$8:$F$42)-MIN(ROW('03.Muestra'!$D$8:$D$42))+1,""),ROW()-778)),"")</f>
        <v>https://www.comunidad.madrid/transparencia/normativa-planificacion/huella-normativa</v>
      </c>
      <c r="D790" s="99" t="s">
        <v>91</v>
      </c>
      <c r="E790" s="79" t="str">
        <f t="shared" si="40"/>
        <v/>
      </c>
      <c r="F790" s="18"/>
      <c r="G790" s="18"/>
      <c r="H790" s="18"/>
      <c r="I790" s="18"/>
      <c r="J790" s="18"/>
      <c r="K790" s="183"/>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Decreto</v>
      </c>
      <c r="C791" s="85" t="str" cm="1">
        <f t="array" ref="C791">IFERROR(INDEX('03.Muestra'!$F$8:$F$42,SMALL(IF("Página Web"='03.Muestra'!$D$8:$D$42,ROW('03.Muestra'!$F$8:$F$42)-MIN(ROW('03.Muestra'!$D$8:$D$42))+1,""),ROW()-778)),"")</f>
        <v>https://www.comunidad.madrid/transparencia/decreto-del-consejo-gobierno-que-se-establece-estructura-organica-consejeria-familia-juventud-y</v>
      </c>
      <c r="D791" s="99" t="s">
        <v>91</v>
      </c>
      <c r="E791" s="79" t="str">
        <f t="shared" si="40"/>
        <v/>
      </c>
      <c r="F791" s="18"/>
      <c r="G791" s="18"/>
      <c r="H791" s="18"/>
      <c r="I791" s="18"/>
      <c r="J791" s="18"/>
      <c r="K791" s="183"/>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Entidades Locales</v>
      </c>
      <c r="C792" s="85" t="str" cm="1">
        <f t="array" ref="C792">IFERROR(INDEX('03.Muestra'!$F$8:$F$42,SMALL(IF("Página Web"='03.Muestra'!$D$8:$D$42,ROW('03.Muestra'!$F$8:$F$42)-MIN(ROW('03.Muestra'!$D$8:$D$42))+1,""),ROW()-778)),"")</f>
        <v>https://www.comunidad.madrid/transparencia/entidades-locales</v>
      </c>
      <c r="D792" s="99" t="s">
        <v>91</v>
      </c>
      <c r="E792" s="79" t="str">
        <f t="shared" si="40"/>
        <v/>
      </c>
      <c r="F792" s="18"/>
      <c r="G792" s="18"/>
      <c r="H792" s="18"/>
      <c r="I792" s="18"/>
      <c r="J792" s="18"/>
      <c r="K792" s="183"/>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ref="D793:D813" si="41">IF(AND(B793&lt;&gt;"",C793&lt;&gt;""),"N/T","")</f>
        <v/>
      </c>
      <c r="E793" s="79" t="str">
        <f t="shared" si="40"/>
        <v/>
      </c>
      <c r="F793" s="18"/>
      <c r="G793" s="18"/>
      <c r="H793" s="18"/>
      <c r="I793" s="18"/>
      <c r="J793" s="18"/>
      <c r="K793" s="183"/>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3"/>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3"/>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3"/>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3"/>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3"/>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3"/>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3"/>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3"/>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3"/>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3"/>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3"/>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3"/>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3"/>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3"/>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3"/>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3"/>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3"/>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3"/>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3"/>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3"/>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3"/>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3"/>
      <c r="L815" s="18"/>
      <c r="M815" s="18"/>
      <c r="N815" s="18"/>
      <c r="O815" s="18"/>
      <c r="P815" s="18"/>
      <c r="Q815" s="18"/>
      <c r="R815" s="18"/>
      <c r="S815" s="18"/>
      <c r="T815" s="18"/>
      <c r="U815" s="18"/>
      <c r="V815" s="18"/>
      <c r="W815" s="18"/>
      <c r="X815" s="18"/>
      <c r="Y815" s="18"/>
    </row>
    <row r="816" spans="1:25" ht="29.25" customHeight="1">
      <c r="A816" s="172" t="s">
        <v>98</v>
      </c>
      <c r="B816" s="23" t="s">
        <v>90</v>
      </c>
      <c r="C816" s="24" t="s">
        <v>162</v>
      </c>
      <c r="D816" s="25" t="s">
        <v>100</v>
      </c>
      <c r="E816" s="93"/>
      <c r="K816" s="183"/>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https://www.comunidad.madrid/transparencia/</v>
      </c>
      <c r="D817" s="99" t="s">
        <v>103</v>
      </c>
      <c r="E817" s="79" t="str">
        <f t="shared" ref="E817:E851" si="42">IF(D817&lt;&gt;"",IF(AND(B817&lt;&gt;"",C817&lt;&gt;""),"","ERR"),"")</f>
        <v/>
      </c>
      <c r="F817" s="86" t="s">
        <v>101</v>
      </c>
      <c r="G817" s="87" t="s">
        <v>102</v>
      </c>
      <c r="H817" s="88" t="s">
        <v>103</v>
      </c>
      <c r="I817" s="89" t="s">
        <v>93</v>
      </c>
      <c r="J817" s="90" t="s">
        <v>91</v>
      </c>
      <c r="K817" s="178" t="s">
        <v>97</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Aviso legal</v>
      </c>
      <c r="C818" s="85" t="str" cm="1">
        <f t="array" ref="C818">IFERROR(INDEX('03.Muestra'!$F$8:$F$42,SMALL(IF("Página Web"='03.Muestra'!$D$8:$D$42,ROW('03.Muestra'!$F$8:$F$42)-MIN(ROW('03.Muestra'!$D$8:$D$42))+1,""),ROW()-816)),"")</f>
        <v>https://www.comunidad.madrid/transparencia/aviso-legal</v>
      </c>
      <c r="D818" s="99" t="s">
        <v>103</v>
      </c>
      <c r="E818" s="79" t="str">
        <f t="shared" si="42"/>
        <v/>
      </c>
      <c r="F818" s="91">
        <f ca="1">COUNTIF($D817:INDIRECT("$D" &amp;  SUM(ROW()-1,'03.Muestra'!$D$45)-1),F817)</f>
        <v>0</v>
      </c>
      <c r="G818" s="91">
        <f ca="1">COUNTIF($D817:INDIRECT("$D" &amp;  SUM(ROW()-1,'03.Muestra'!$D$45)-1),G817)</f>
        <v>0</v>
      </c>
      <c r="H818" s="91">
        <f ca="1">COUNTIF($D817:INDIRECT("$D" &amp;  SUM(ROW()-1,'03.Muestra'!$D$45)-1),H817)</f>
        <v>14</v>
      </c>
      <c r="I818" s="91">
        <f ca="1">COUNTIF($D817:INDIRECT("$D" &amp;  SUM(ROW()-1,'03.Muestra'!$D$45)-1),I817)</f>
        <v>0</v>
      </c>
      <c r="J818" s="91">
        <f ca="1">COUNTIF($D817:INDIRECT("$D" &amp;  SUM(ROW()-1,'03.Muestra'!$D$45)-1),J817)</f>
        <v>0</v>
      </c>
      <c r="K818" s="179">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Accesibilidad</v>
      </c>
      <c r="C819" s="85" t="str" cm="1">
        <f t="array" ref="C819">IFERROR(INDEX('03.Muestra'!$F$8:$F$42,SMALL(IF("Página Web"='03.Muestra'!$D$8:$D$42,ROW('03.Muestra'!$F$8:$F$42)-MIN(ROW('03.Muestra'!$D$8:$D$42))+1,""),ROW()-816)),"")</f>
        <v>https://www.comunidad.madrid/transparencia/declaracion-accesibilidad</v>
      </c>
      <c r="D819" s="99" t="s">
        <v>103</v>
      </c>
      <c r="E819" s="79" t="str">
        <f t="shared" si="42"/>
        <v/>
      </c>
      <c r="G819" s="18"/>
      <c r="H819" s="18"/>
      <c r="I819" s="18"/>
      <c r="J819" s="18"/>
      <c r="K819" s="183"/>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Tranparencia</v>
      </c>
      <c r="C820" s="85" t="str" cm="1">
        <f t="array" ref="C820">IFERROR(INDEX('03.Muestra'!$F$8:$F$42,SMALL(IF("Página Web"='03.Muestra'!$D$8:$D$42,ROW('03.Muestra'!$F$8:$F$42)-MIN(ROW('03.Muestra'!$D$8:$D$42))+1,""),ROW()-816)),"")</f>
        <v>https://www.comunidad.madrid/transparencia/que-es-transparencia</v>
      </c>
      <c r="D820" s="99" t="s">
        <v>103</v>
      </c>
      <c r="E820" s="79" t="str">
        <f t="shared" si="42"/>
        <v/>
      </c>
      <c r="G820" s="18"/>
      <c r="H820" s="18"/>
      <c r="I820" s="18"/>
      <c r="J820" s="18"/>
      <c r="K820" s="183"/>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Organización</v>
      </c>
      <c r="C821" s="85" t="str" cm="1">
        <f t="array" ref="C821">IFERROR(INDEX('03.Muestra'!$F$8:$F$42,SMALL(IF("Página Web"='03.Muestra'!$D$8:$D$42,ROW('03.Muestra'!$F$8:$F$42)-MIN(ROW('03.Muestra'!$D$8:$D$42))+1,""),ROW()-816)),"")</f>
        <v>https://www.comunidad.madrid/transparencia/organizacion-recursos/organizacion</v>
      </c>
      <c r="D821" s="99" t="s">
        <v>103</v>
      </c>
      <c r="E821" s="79" t="str">
        <f t="shared" si="42"/>
        <v/>
      </c>
      <c r="G821" s="18"/>
      <c r="H821" s="18"/>
      <c r="I821" s="18"/>
      <c r="J821" s="18"/>
      <c r="K821" s="183"/>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Quejas</v>
      </c>
      <c r="C822" s="85" t="str" cm="1">
        <f t="array" ref="C822">IFERROR(INDEX('03.Muestra'!$F$8:$F$42,SMALL(IF("Página Web"='03.Muestra'!$D$8:$D$42,ROW('03.Muestra'!$F$8:$F$42)-MIN(ROW('03.Muestra'!$D$8:$D$42))+1,""),ROW()-816)),"")</f>
        <v>https://www.comunidad.madrid/transparencia/quejas-y-reclamaciones</v>
      </c>
      <c r="D822" s="99" t="s">
        <v>103</v>
      </c>
      <c r="E822" s="79" t="str">
        <f t="shared" si="42"/>
        <v/>
      </c>
      <c r="G822" s="18"/>
      <c r="H822" s="18"/>
      <c r="I822" s="18"/>
      <c r="J822" s="18"/>
      <c r="K822" s="183"/>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Contratos</v>
      </c>
      <c r="C823" s="85" t="str" cm="1">
        <f t="array" ref="C823">IFERROR(INDEX('03.Muestra'!$F$8:$F$42,SMALL(IF("Página Web"='03.Muestra'!$D$8:$D$42,ROW('03.Muestra'!$F$8:$F$42)-MIN(ROW('03.Muestra'!$D$8:$D$42))+1,""),ROW()-816)),"")</f>
        <v>https://www.comunidad.madrid/transparencia/contratos</v>
      </c>
      <c r="D823" s="99" t="s">
        <v>103</v>
      </c>
      <c r="E823" s="79" t="str">
        <f t="shared" si="42"/>
        <v/>
      </c>
      <c r="F823" s="18"/>
      <c r="G823" s="18"/>
      <c r="H823" s="18"/>
      <c r="I823" s="18"/>
      <c r="J823" s="18"/>
      <c r="K823" s="183"/>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Consulta</v>
      </c>
      <c r="C824" s="85" t="str" cm="1">
        <f t="array" ref="C824">IFERROR(INDEX('03.Muestra'!$F$8:$F$42,SMALL(IF("Página Web"='03.Muestra'!$D$8:$D$42,ROW('03.Muestra'!$F$8:$F$42)-MIN(ROW('03.Muestra'!$D$8:$D$42))+1,""),ROW()-816)),"")</f>
        <v>https://www.comunidad.madrid/transparencia/normativa-planificacion/consulta-publica</v>
      </c>
      <c r="D824" s="99" t="s">
        <v>103</v>
      </c>
      <c r="E824" s="79" t="str">
        <f t="shared" si="42"/>
        <v/>
      </c>
      <c r="F824" s="18"/>
      <c r="G824" s="18"/>
      <c r="H824" s="18"/>
      <c r="I824" s="18"/>
      <c r="J824" s="18"/>
      <c r="K824" s="183"/>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Proyecto</v>
      </c>
      <c r="C825" s="85" t="str" cm="1">
        <f t="array" ref="C825">IFERROR(INDEX('03.Muestra'!$F$8:$F$42,SMALL(IF("Página Web"='03.Muestra'!$D$8:$D$42,ROW('03.Muestra'!$F$8:$F$42)-MIN(ROW('03.Muestra'!$D$8:$D$42))+1,""),ROW()-816)),"")</f>
        <v>https://www.comunidad.madrid/transparencia/proyecto-orden-que-se-crea-comision-farmacia-y-productos-sanitarios-cm-y-se-establece-su-composicion</v>
      </c>
      <c r="D825" s="99" t="s">
        <v>103</v>
      </c>
      <c r="E825" s="79" t="str">
        <f t="shared" si="42"/>
        <v/>
      </c>
      <c r="F825" s="18"/>
      <c r="G825" s="18"/>
      <c r="H825" s="18"/>
      <c r="I825" s="18"/>
      <c r="J825" s="18"/>
      <c r="K825" s="183"/>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Planes y Programas</v>
      </c>
      <c r="C826" s="85" t="str" cm="1">
        <f t="array" ref="C826">IFERROR(INDEX('03.Muestra'!$F$8:$F$42,SMALL(IF("Página Web"='03.Muestra'!$D$8:$D$42,ROW('03.Muestra'!$F$8:$F$42)-MIN(ROW('03.Muestra'!$D$8:$D$42))+1,""),ROW()-816)),"")</f>
        <v>https://www.comunidad.madrid/transparencia/normativa-planificacion/planes-programas</v>
      </c>
      <c r="D826" s="99" t="s">
        <v>103</v>
      </c>
      <c r="E826" s="79" t="str">
        <f t="shared" si="42"/>
        <v/>
      </c>
      <c r="F826" s="18"/>
      <c r="G826" s="18"/>
      <c r="H826" s="18"/>
      <c r="I826" s="18"/>
      <c r="J826" s="18"/>
      <c r="K826" s="183"/>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Estrategia</v>
      </c>
      <c r="C827" s="85" t="str" cm="1">
        <f t="array" ref="C827">IFERROR(INDEX('03.Muestra'!$F$8:$F$42,SMALL(IF("Página Web"='03.Muestra'!$D$8:$D$42,ROW('03.Muestra'!$F$8:$F$42)-MIN(ROW('03.Muestra'!$D$8:$D$42))+1,""),ROW()-816)),"")</f>
        <v>https://www.comunidad.madrid/transparencia/informacion-institucional/planes-programas/estrategia-seguridad-del-paciente-del-servicio-madrileno</v>
      </c>
      <c r="D827" s="99" t="s">
        <v>103</v>
      </c>
      <c r="E827" s="79" t="str">
        <f t="shared" si="42"/>
        <v/>
      </c>
      <c r="F827" s="18"/>
      <c r="G827" s="18"/>
      <c r="H827" s="18"/>
      <c r="I827" s="18"/>
      <c r="J827" s="18"/>
      <c r="K827" s="183"/>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Huella</v>
      </c>
      <c r="C828" s="85" t="str" cm="1">
        <f t="array" ref="C828">IFERROR(INDEX('03.Muestra'!$F$8:$F$42,SMALL(IF("Página Web"='03.Muestra'!$D$8:$D$42,ROW('03.Muestra'!$F$8:$F$42)-MIN(ROW('03.Muestra'!$D$8:$D$42))+1,""),ROW()-816)),"")</f>
        <v>https://www.comunidad.madrid/transparencia/normativa-planificacion/huella-normativa</v>
      </c>
      <c r="D828" s="99" t="s">
        <v>103</v>
      </c>
      <c r="E828" s="79" t="str">
        <f t="shared" si="42"/>
        <v/>
      </c>
      <c r="F828" s="18"/>
      <c r="G828" s="18"/>
      <c r="H828" s="18"/>
      <c r="I828" s="18"/>
      <c r="J828" s="18"/>
      <c r="K828" s="183"/>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Decreto</v>
      </c>
      <c r="C829" s="85" t="str" cm="1">
        <f t="array" ref="C829">IFERROR(INDEX('03.Muestra'!$F$8:$F$42,SMALL(IF("Página Web"='03.Muestra'!$D$8:$D$42,ROW('03.Muestra'!$F$8:$F$42)-MIN(ROW('03.Muestra'!$D$8:$D$42))+1,""),ROW()-816)),"")</f>
        <v>https://www.comunidad.madrid/transparencia/decreto-del-consejo-gobierno-que-se-establece-estructura-organica-consejeria-familia-juventud-y</v>
      </c>
      <c r="D829" s="99" t="s">
        <v>103</v>
      </c>
      <c r="E829" s="79" t="str">
        <f t="shared" si="42"/>
        <v/>
      </c>
      <c r="F829" s="18"/>
      <c r="G829" s="18"/>
      <c r="H829" s="18"/>
      <c r="I829" s="18"/>
      <c r="J829" s="18"/>
      <c r="K829" s="183"/>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Entidades Locales</v>
      </c>
      <c r="C830" s="85" t="str" cm="1">
        <f t="array" ref="C830">IFERROR(INDEX('03.Muestra'!$F$8:$F$42,SMALL(IF("Página Web"='03.Muestra'!$D$8:$D$42,ROW('03.Muestra'!$F$8:$F$42)-MIN(ROW('03.Muestra'!$D$8:$D$42))+1,""),ROW()-816)),"")</f>
        <v>https://www.comunidad.madrid/transparencia/entidades-locales</v>
      </c>
      <c r="D830" s="99" t="s">
        <v>103</v>
      </c>
      <c r="E830" s="79" t="str">
        <f t="shared" si="42"/>
        <v/>
      </c>
      <c r="F830" s="18"/>
      <c r="G830" s="18"/>
      <c r="H830" s="18"/>
      <c r="I830" s="18"/>
      <c r="J830" s="18"/>
      <c r="K830" s="183"/>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ref="D831:D851" si="43">IF(AND(B831&lt;&gt;"",C831&lt;&gt;""),"N/T","")</f>
        <v/>
      </c>
      <c r="E831" s="79" t="str">
        <f t="shared" si="42"/>
        <v/>
      </c>
      <c r="F831" s="18"/>
      <c r="G831" s="18"/>
      <c r="H831" s="18"/>
      <c r="I831" s="18"/>
      <c r="J831" s="18"/>
      <c r="K831" s="183"/>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3"/>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3"/>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3"/>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3"/>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3"/>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3"/>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3"/>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3"/>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3"/>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3"/>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3"/>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3"/>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3"/>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3"/>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3"/>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3"/>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3"/>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3"/>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3"/>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3"/>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3"/>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3"/>
      <c r="L853" s="18"/>
      <c r="M853" s="18"/>
      <c r="N853" s="18"/>
      <c r="O853" s="18"/>
      <c r="P853" s="18"/>
      <c r="Q853" s="18"/>
      <c r="R853" s="18"/>
      <c r="S853" s="18"/>
      <c r="T853" s="18"/>
      <c r="U853" s="18"/>
      <c r="V853" s="18"/>
      <c r="W853" s="18"/>
      <c r="X853" s="18"/>
      <c r="Y853" s="18"/>
    </row>
    <row r="854" spans="1:25" ht="29.25" customHeight="1">
      <c r="A854" s="172" t="s">
        <v>98</v>
      </c>
      <c r="B854" s="23" t="s">
        <v>90</v>
      </c>
      <c r="C854" s="24" t="s">
        <v>163</v>
      </c>
      <c r="D854" s="25" t="s">
        <v>100</v>
      </c>
      <c r="E854" s="93"/>
      <c r="K854" s="183"/>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https://www.comunidad.madrid/transparencia/</v>
      </c>
      <c r="D855" s="99" t="s">
        <v>103</v>
      </c>
      <c r="E855" s="79" t="str">
        <f t="shared" ref="E855:E889" si="44">IF(D855&lt;&gt;"",IF(AND(B855&lt;&gt;"",C855&lt;&gt;""),"","ERR"),"")</f>
        <v/>
      </c>
      <c r="F855" s="86" t="s">
        <v>101</v>
      </c>
      <c r="G855" s="87" t="s">
        <v>102</v>
      </c>
      <c r="H855" s="88" t="s">
        <v>103</v>
      </c>
      <c r="I855" s="89" t="s">
        <v>93</v>
      </c>
      <c r="J855" s="90" t="s">
        <v>91</v>
      </c>
      <c r="K855" s="178" t="s">
        <v>97</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Aviso legal</v>
      </c>
      <c r="C856" s="85" t="str" cm="1">
        <f t="array" ref="C856">IFERROR(INDEX('03.Muestra'!$F$8:$F$42,SMALL(IF("Página Web"='03.Muestra'!$D$8:$D$42,ROW('03.Muestra'!$F$8:$F$42)-MIN(ROW('03.Muestra'!$D$8:$D$42))+1,""),ROW()-854)),"")</f>
        <v>https://www.comunidad.madrid/transparencia/aviso-legal</v>
      </c>
      <c r="D856" s="99" t="s">
        <v>103</v>
      </c>
      <c r="E856" s="79" t="str">
        <f t="shared" si="44"/>
        <v/>
      </c>
      <c r="F856" s="91">
        <f ca="1">COUNTIF($D855:INDIRECT("$D" &amp;  SUM(ROW()-1,'03.Muestra'!$D$45)-1),F855)</f>
        <v>0</v>
      </c>
      <c r="G856" s="91">
        <f ca="1">COUNTIF($D855:INDIRECT("$D" &amp;  SUM(ROW()-1,'03.Muestra'!$D$45)-1),G855)</f>
        <v>0</v>
      </c>
      <c r="H856" s="91">
        <f ca="1">COUNTIF($D855:INDIRECT("$D" &amp;  SUM(ROW()-1,'03.Muestra'!$D$45)-1),H855)</f>
        <v>14</v>
      </c>
      <c r="I856" s="91">
        <f ca="1">COUNTIF($D855:INDIRECT("$D" &amp;  SUM(ROW()-1,'03.Muestra'!$D$45)-1),I855)</f>
        <v>0</v>
      </c>
      <c r="J856" s="91">
        <f ca="1">COUNTIF($D855:INDIRECT("$D" &amp;  SUM(ROW()-1,'03.Muestra'!$D$45)-1),J855)</f>
        <v>0</v>
      </c>
      <c r="K856" s="179">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Accesibilidad</v>
      </c>
      <c r="C857" s="85" t="str" cm="1">
        <f t="array" ref="C857">IFERROR(INDEX('03.Muestra'!$F$8:$F$42,SMALL(IF("Página Web"='03.Muestra'!$D$8:$D$42,ROW('03.Muestra'!$F$8:$F$42)-MIN(ROW('03.Muestra'!$D$8:$D$42))+1,""),ROW()-854)),"")</f>
        <v>https://www.comunidad.madrid/transparencia/declaracion-accesibilidad</v>
      </c>
      <c r="D857" s="99" t="s">
        <v>103</v>
      </c>
      <c r="E857" s="79" t="str">
        <f t="shared" si="44"/>
        <v/>
      </c>
      <c r="G857" s="18"/>
      <c r="H857" s="18"/>
      <c r="I857" s="18"/>
      <c r="J857" s="18"/>
      <c r="K857" s="183"/>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Tranparencia</v>
      </c>
      <c r="C858" s="85" t="str" cm="1">
        <f t="array" ref="C858">IFERROR(INDEX('03.Muestra'!$F$8:$F$42,SMALL(IF("Página Web"='03.Muestra'!$D$8:$D$42,ROW('03.Muestra'!$F$8:$F$42)-MIN(ROW('03.Muestra'!$D$8:$D$42))+1,""),ROW()-854)),"")</f>
        <v>https://www.comunidad.madrid/transparencia/que-es-transparencia</v>
      </c>
      <c r="D858" s="99" t="s">
        <v>103</v>
      </c>
      <c r="E858" s="79" t="str">
        <f t="shared" si="44"/>
        <v/>
      </c>
      <c r="G858" s="18"/>
      <c r="H858" s="18"/>
      <c r="I858" s="18"/>
      <c r="J858" s="18"/>
      <c r="K858" s="183"/>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Organización</v>
      </c>
      <c r="C859" s="85" t="str" cm="1">
        <f t="array" ref="C859">IFERROR(INDEX('03.Muestra'!$F$8:$F$42,SMALL(IF("Página Web"='03.Muestra'!$D$8:$D$42,ROW('03.Muestra'!$F$8:$F$42)-MIN(ROW('03.Muestra'!$D$8:$D$42))+1,""),ROW()-854)),"")</f>
        <v>https://www.comunidad.madrid/transparencia/organizacion-recursos/organizacion</v>
      </c>
      <c r="D859" s="99" t="s">
        <v>103</v>
      </c>
      <c r="E859" s="79" t="str">
        <f t="shared" si="44"/>
        <v/>
      </c>
      <c r="G859" s="18"/>
      <c r="H859" s="18"/>
      <c r="I859" s="18"/>
      <c r="J859" s="18"/>
      <c r="K859" s="183"/>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Quejas</v>
      </c>
      <c r="C860" s="85" t="str" cm="1">
        <f t="array" ref="C860">IFERROR(INDEX('03.Muestra'!$F$8:$F$42,SMALL(IF("Página Web"='03.Muestra'!$D$8:$D$42,ROW('03.Muestra'!$F$8:$F$42)-MIN(ROW('03.Muestra'!$D$8:$D$42))+1,""),ROW()-854)),"")</f>
        <v>https://www.comunidad.madrid/transparencia/quejas-y-reclamaciones</v>
      </c>
      <c r="D860" s="99" t="s">
        <v>103</v>
      </c>
      <c r="E860" s="79" t="str">
        <f t="shared" si="44"/>
        <v/>
      </c>
      <c r="G860" s="18"/>
      <c r="H860" s="18"/>
      <c r="I860" s="18"/>
      <c r="J860" s="18"/>
      <c r="K860" s="183"/>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Contratos</v>
      </c>
      <c r="C861" s="85" t="str" cm="1">
        <f t="array" ref="C861">IFERROR(INDEX('03.Muestra'!$F$8:$F$42,SMALL(IF("Página Web"='03.Muestra'!$D$8:$D$42,ROW('03.Muestra'!$F$8:$F$42)-MIN(ROW('03.Muestra'!$D$8:$D$42))+1,""),ROW()-854)),"")</f>
        <v>https://www.comunidad.madrid/transparencia/contratos</v>
      </c>
      <c r="D861" s="99" t="s">
        <v>103</v>
      </c>
      <c r="E861" s="79" t="str">
        <f t="shared" si="44"/>
        <v/>
      </c>
      <c r="F861" s="18"/>
      <c r="G861" s="18"/>
      <c r="H861" s="18"/>
      <c r="I861" s="18"/>
      <c r="J861" s="18"/>
      <c r="K861" s="183"/>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Consulta</v>
      </c>
      <c r="C862" s="85" t="str" cm="1">
        <f t="array" ref="C862">IFERROR(INDEX('03.Muestra'!$F$8:$F$42,SMALL(IF("Página Web"='03.Muestra'!$D$8:$D$42,ROW('03.Muestra'!$F$8:$F$42)-MIN(ROW('03.Muestra'!$D$8:$D$42))+1,""),ROW()-854)),"")</f>
        <v>https://www.comunidad.madrid/transparencia/normativa-planificacion/consulta-publica</v>
      </c>
      <c r="D862" s="99" t="s">
        <v>103</v>
      </c>
      <c r="E862" s="79" t="str">
        <f t="shared" si="44"/>
        <v/>
      </c>
      <c r="F862" s="18"/>
      <c r="G862" s="18"/>
      <c r="H862" s="18"/>
      <c r="I862" s="18"/>
      <c r="J862" s="18"/>
      <c r="K862" s="183"/>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Proyecto</v>
      </c>
      <c r="C863" s="85" t="str" cm="1">
        <f t="array" ref="C863">IFERROR(INDEX('03.Muestra'!$F$8:$F$42,SMALL(IF("Página Web"='03.Muestra'!$D$8:$D$42,ROW('03.Muestra'!$F$8:$F$42)-MIN(ROW('03.Muestra'!$D$8:$D$42))+1,""),ROW()-854)),"")</f>
        <v>https://www.comunidad.madrid/transparencia/proyecto-orden-que-se-crea-comision-farmacia-y-productos-sanitarios-cm-y-se-establece-su-composicion</v>
      </c>
      <c r="D863" s="99" t="s">
        <v>103</v>
      </c>
      <c r="E863" s="79" t="str">
        <f t="shared" si="44"/>
        <v/>
      </c>
      <c r="F863" s="18"/>
      <c r="G863" s="18"/>
      <c r="H863" s="18"/>
      <c r="I863" s="18"/>
      <c r="J863" s="18"/>
      <c r="K863" s="183"/>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Planes y Programas</v>
      </c>
      <c r="C864" s="85" t="str" cm="1">
        <f t="array" ref="C864">IFERROR(INDEX('03.Muestra'!$F$8:$F$42,SMALL(IF("Página Web"='03.Muestra'!$D$8:$D$42,ROW('03.Muestra'!$F$8:$F$42)-MIN(ROW('03.Muestra'!$D$8:$D$42))+1,""),ROW()-854)),"")</f>
        <v>https://www.comunidad.madrid/transparencia/normativa-planificacion/planes-programas</v>
      </c>
      <c r="D864" s="99" t="s">
        <v>103</v>
      </c>
      <c r="E864" s="79" t="str">
        <f t="shared" si="44"/>
        <v/>
      </c>
      <c r="F864" s="18"/>
      <c r="G864" s="18"/>
      <c r="H864" s="18"/>
      <c r="I864" s="18"/>
      <c r="J864" s="18"/>
      <c r="K864" s="183"/>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Estrategia</v>
      </c>
      <c r="C865" s="85" t="str" cm="1">
        <f t="array" ref="C865">IFERROR(INDEX('03.Muestra'!$F$8:$F$42,SMALL(IF("Página Web"='03.Muestra'!$D$8:$D$42,ROW('03.Muestra'!$F$8:$F$42)-MIN(ROW('03.Muestra'!$D$8:$D$42))+1,""),ROW()-854)),"")</f>
        <v>https://www.comunidad.madrid/transparencia/informacion-institucional/planes-programas/estrategia-seguridad-del-paciente-del-servicio-madrileno</v>
      </c>
      <c r="D865" s="99" t="s">
        <v>103</v>
      </c>
      <c r="E865" s="79" t="str">
        <f t="shared" si="44"/>
        <v/>
      </c>
      <c r="F865" s="18"/>
      <c r="G865" s="18"/>
      <c r="H865" s="18"/>
      <c r="I865" s="18"/>
      <c r="J865" s="18"/>
      <c r="K865" s="183"/>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Huella</v>
      </c>
      <c r="C866" s="85" t="str" cm="1">
        <f t="array" ref="C866">IFERROR(INDEX('03.Muestra'!$F$8:$F$42,SMALL(IF("Página Web"='03.Muestra'!$D$8:$D$42,ROW('03.Muestra'!$F$8:$F$42)-MIN(ROW('03.Muestra'!$D$8:$D$42))+1,""),ROW()-854)),"")</f>
        <v>https://www.comunidad.madrid/transparencia/normativa-planificacion/huella-normativa</v>
      </c>
      <c r="D866" s="99" t="s">
        <v>103</v>
      </c>
      <c r="E866" s="79" t="str">
        <f t="shared" si="44"/>
        <v/>
      </c>
      <c r="F866" s="18"/>
      <c r="G866" s="18"/>
      <c r="H866" s="18"/>
      <c r="I866" s="18"/>
      <c r="J866" s="18"/>
      <c r="K866" s="183"/>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Decreto</v>
      </c>
      <c r="C867" s="85" t="str" cm="1">
        <f t="array" ref="C867">IFERROR(INDEX('03.Muestra'!$F$8:$F$42,SMALL(IF("Página Web"='03.Muestra'!$D$8:$D$42,ROW('03.Muestra'!$F$8:$F$42)-MIN(ROW('03.Muestra'!$D$8:$D$42))+1,""),ROW()-854)),"")</f>
        <v>https://www.comunidad.madrid/transparencia/decreto-del-consejo-gobierno-que-se-establece-estructura-organica-consejeria-familia-juventud-y</v>
      </c>
      <c r="D867" s="99" t="s">
        <v>103</v>
      </c>
      <c r="E867" s="79" t="str">
        <f t="shared" si="44"/>
        <v/>
      </c>
      <c r="F867" s="18"/>
      <c r="G867" s="18"/>
      <c r="H867" s="18"/>
      <c r="I867" s="18"/>
      <c r="J867" s="18"/>
      <c r="K867" s="183"/>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Entidades Locales</v>
      </c>
      <c r="C868" s="85" t="str" cm="1">
        <f t="array" ref="C868">IFERROR(INDEX('03.Muestra'!$F$8:$F$42,SMALL(IF("Página Web"='03.Muestra'!$D$8:$D$42,ROW('03.Muestra'!$F$8:$F$42)-MIN(ROW('03.Muestra'!$D$8:$D$42))+1,""),ROW()-854)),"")</f>
        <v>https://www.comunidad.madrid/transparencia/entidades-locales</v>
      </c>
      <c r="D868" s="99" t="s">
        <v>103</v>
      </c>
      <c r="E868" s="79" t="str">
        <f t="shared" si="44"/>
        <v/>
      </c>
      <c r="F868" s="18"/>
      <c r="G868" s="18"/>
      <c r="H868" s="18"/>
      <c r="I868" s="18"/>
      <c r="J868" s="18"/>
      <c r="K868" s="183"/>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ref="D869:D889" si="45">IF(AND(B869&lt;&gt;"",C869&lt;&gt;""),"N/T","")</f>
        <v/>
      </c>
      <c r="E869" s="79" t="str">
        <f t="shared" si="44"/>
        <v/>
      </c>
      <c r="F869" s="18"/>
      <c r="G869" s="18"/>
      <c r="H869" s="18"/>
      <c r="I869" s="18"/>
      <c r="J869" s="18"/>
      <c r="K869" s="183"/>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3"/>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3"/>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3"/>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3"/>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3"/>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3"/>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3"/>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3"/>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3"/>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3"/>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3"/>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3"/>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3"/>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3"/>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3"/>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3"/>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3"/>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3"/>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3"/>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3"/>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3"/>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3"/>
      <c r="L891" s="18"/>
      <c r="M891" s="18"/>
      <c r="N891" s="18"/>
      <c r="O891" s="18"/>
      <c r="P891" s="18"/>
      <c r="Q891" s="18"/>
      <c r="R891" s="18"/>
      <c r="S891" s="18"/>
      <c r="T891" s="18"/>
      <c r="U891" s="18"/>
      <c r="V891" s="18"/>
      <c r="W891" s="18"/>
      <c r="X891" s="18"/>
      <c r="Y891" s="18"/>
    </row>
    <row r="892" spans="1:25" ht="29.25" customHeight="1">
      <c r="A892" s="172" t="s">
        <v>98</v>
      </c>
      <c r="B892" s="23" t="s">
        <v>90</v>
      </c>
      <c r="C892" s="24" t="s">
        <v>164</v>
      </c>
      <c r="D892" s="25" t="s">
        <v>100</v>
      </c>
      <c r="E892" s="93"/>
      <c r="K892" s="183"/>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https://www.comunidad.madrid/transparencia/</v>
      </c>
      <c r="D893" s="99" t="s">
        <v>103</v>
      </c>
      <c r="E893" s="79" t="str">
        <f t="shared" ref="E893:E927" si="46">IF(D893&lt;&gt;"",IF(AND(B893&lt;&gt;"",C893&lt;&gt;""),"","ERR"),"")</f>
        <v/>
      </c>
      <c r="F893" s="86" t="s">
        <v>101</v>
      </c>
      <c r="G893" s="87" t="s">
        <v>102</v>
      </c>
      <c r="H893" s="88" t="s">
        <v>103</v>
      </c>
      <c r="I893" s="89" t="s">
        <v>93</v>
      </c>
      <c r="J893" s="90" t="s">
        <v>91</v>
      </c>
      <c r="K893" s="178" t="s">
        <v>97</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Aviso legal</v>
      </c>
      <c r="C894" s="85" t="str" cm="1">
        <f t="array" ref="C894">IFERROR(INDEX('03.Muestra'!$F$8:$F$42,SMALL(IF("Página Web"='03.Muestra'!$D$8:$D$42,ROW('03.Muestra'!$F$8:$F$42)-MIN(ROW('03.Muestra'!$D$8:$D$42))+1,""),ROW()-892)),"")</f>
        <v>https://www.comunidad.madrid/transparencia/aviso-legal</v>
      </c>
      <c r="D894" s="99" t="s">
        <v>103</v>
      </c>
      <c r="E894" s="79" t="str">
        <f t="shared" si="46"/>
        <v/>
      </c>
      <c r="F894" s="91">
        <f ca="1">COUNTIF($D893:INDIRECT("$D" &amp;  SUM(ROW()-1,'03.Muestra'!$D$45)-1),F893)</f>
        <v>0</v>
      </c>
      <c r="G894" s="91">
        <f ca="1">COUNTIF($D893:INDIRECT("$D" &amp;  SUM(ROW()-1,'03.Muestra'!$D$45)-1),G893)</f>
        <v>0</v>
      </c>
      <c r="H894" s="91">
        <f ca="1">COUNTIF($D893:INDIRECT("$D" &amp;  SUM(ROW()-1,'03.Muestra'!$D$45)-1),H893)</f>
        <v>14</v>
      </c>
      <c r="I894" s="91">
        <f ca="1">COUNTIF($D893:INDIRECT("$D" &amp;  SUM(ROW()-1,'03.Muestra'!$D$45)-1),I893)</f>
        <v>0</v>
      </c>
      <c r="J894" s="91">
        <f ca="1">COUNTIF($D893:INDIRECT("$D" &amp;  SUM(ROW()-1,'03.Muestra'!$D$45)-1),J893)</f>
        <v>0</v>
      </c>
      <c r="K894" s="179">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Accesibilidad</v>
      </c>
      <c r="C895" s="85" t="str" cm="1">
        <f t="array" ref="C895">IFERROR(INDEX('03.Muestra'!$F$8:$F$42,SMALL(IF("Página Web"='03.Muestra'!$D$8:$D$42,ROW('03.Muestra'!$F$8:$F$42)-MIN(ROW('03.Muestra'!$D$8:$D$42))+1,""),ROW()-892)),"")</f>
        <v>https://www.comunidad.madrid/transparencia/declaracion-accesibilidad</v>
      </c>
      <c r="D895" s="99" t="s">
        <v>103</v>
      </c>
      <c r="E895" s="79" t="str">
        <f t="shared" si="46"/>
        <v/>
      </c>
      <c r="G895" s="18"/>
      <c r="H895" s="18"/>
      <c r="I895" s="18"/>
      <c r="J895" s="18"/>
      <c r="K895" s="183"/>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Tranparencia</v>
      </c>
      <c r="C896" s="85" t="str" cm="1">
        <f t="array" ref="C896">IFERROR(INDEX('03.Muestra'!$F$8:$F$42,SMALL(IF("Página Web"='03.Muestra'!$D$8:$D$42,ROW('03.Muestra'!$F$8:$F$42)-MIN(ROW('03.Muestra'!$D$8:$D$42))+1,""),ROW()-892)),"")</f>
        <v>https://www.comunidad.madrid/transparencia/que-es-transparencia</v>
      </c>
      <c r="D896" s="99" t="s">
        <v>103</v>
      </c>
      <c r="E896" s="79" t="str">
        <f t="shared" si="46"/>
        <v/>
      </c>
      <c r="G896" s="18"/>
      <c r="H896" s="18"/>
      <c r="I896" s="18"/>
      <c r="J896" s="18"/>
      <c r="K896" s="183"/>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Organización</v>
      </c>
      <c r="C897" s="85" t="str" cm="1">
        <f t="array" ref="C897">IFERROR(INDEX('03.Muestra'!$F$8:$F$42,SMALL(IF("Página Web"='03.Muestra'!$D$8:$D$42,ROW('03.Muestra'!$F$8:$F$42)-MIN(ROW('03.Muestra'!$D$8:$D$42))+1,""),ROW()-892)),"")</f>
        <v>https://www.comunidad.madrid/transparencia/organizacion-recursos/organizacion</v>
      </c>
      <c r="D897" s="99" t="s">
        <v>103</v>
      </c>
      <c r="E897" s="79" t="str">
        <f t="shared" si="46"/>
        <v/>
      </c>
      <c r="G897" s="18"/>
      <c r="H897" s="18"/>
      <c r="I897" s="18"/>
      <c r="J897" s="18"/>
      <c r="K897" s="183"/>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Quejas</v>
      </c>
      <c r="C898" s="85" t="str" cm="1">
        <f t="array" ref="C898">IFERROR(INDEX('03.Muestra'!$F$8:$F$42,SMALL(IF("Página Web"='03.Muestra'!$D$8:$D$42,ROW('03.Muestra'!$F$8:$F$42)-MIN(ROW('03.Muestra'!$D$8:$D$42))+1,""),ROW()-892)),"")</f>
        <v>https://www.comunidad.madrid/transparencia/quejas-y-reclamaciones</v>
      </c>
      <c r="D898" s="99" t="s">
        <v>103</v>
      </c>
      <c r="E898" s="79" t="str">
        <f t="shared" si="46"/>
        <v/>
      </c>
      <c r="G898" s="18"/>
      <c r="H898" s="18"/>
      <c r="I898" s="18"/>
      <c r="J898" s="18"/>
      <c r="K898" s="183"/>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Contratos</v>
      </c>
      <c r="C899" s="85" t="str" cm="1">
        <f t="array" ref="C899">IFERROR(INDEX('03.Muestra'!$F$8:$F$42,SMALL(IF("Página Web"='03.Muestra'!$D$8:$D$42,ROW('03.Muestra'!$F$8:$F$42)-MIN(ROW('03.Muestra'!$D$8:$D$42))+1,""),ROW()-892)),"")</f>
        <v>https://www.comunidad.madrid/transparencia/contratos</v>
      </c>
      <c r="D899" s="99" t="s">
        <v>103</v>
      </c>
      <c r="E899" s="79" t="str">
        <f t="shared" si="46"/>
        <v/>
      </c>
      <c r="F899" s="18"/>
      <c r="G899" s="18"/>
      <c r="H899" s="18"/>
      <c r="I899" s="18"/>
      <c r="J899" s="18"/>
      <c r="K899" s="183"/>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Consulta</v>
      </c>
      <c r="C900" s="85" t="str" cm="1">
        <f t="array" ref="C900">IFERROR(INDEX('03.Muestra'!$F$8:$F$42,SMALL(IF("Página Web"='03.Muestra'!$D$8:$D$42,ROW('03.Muestra'!$F$8:$F$42)-MIN(ROW('03.Muestra'!$D$8:$D$42))+1,""),ROW()-892)),"")</f>
        <v>https://www.comunidad.madrid/transparencia/normativa-planificacion/consulta-publica</v>
      </c>
      <c r="D900" s="99" t="s">
        <v>103</v>
      </c>
      <c r="E900" s="79" t="str">
        <f t="shared" si="46"/>
        <v/>
      </c>
      <c r="F900" s="18"/>
      <c r="G900" s="18"/>
      <c r="H900" s="18"/>
      <c r="I900" s="18"/>
      <c r="J900" s="18"/>
      <c r="K900" s="183"/>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Proyecto</v>
      </c>
      <c r="C901" s="85" t="str" cm="1">
        <f t="array" ref="C901">IFERROR(INDEX('03.Muestra'!$F$8:$F$42,SMALL(IF("Página Web"='03.Muestra'!$D$8:$D$42,ROW('03.Muestra'!$F$8:$F$42)-MIN(ROW('03.Muestra'!$D$8:$D$42))+1,""),ROW()-892)),"")</f>
        <v>https://www.comunidad.madrid/transparencia/proyecto-orden-que-se-crea-comision-farmacia-y-productos-sanitarios-cm-y-se-establece-su-composicion</v>
      </c>
      <c r="D901" s="99" t="s">
        <v>103</v>
      </c>
      <c r="E901" s="79" t="str">
        <f t="shared" si="46"/>
        <v/>
      </c>
      <c r="F901" s="18"/>
      <c r="G901" s="18"/>
      <c r="H901" s="18"/>
      <c r="I901" s="18"/>
      <c r="J901" s="18"/>
      <c r="K901" s="183"/>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Planes y Programas</v>
      </c>
      <c r="C902" s="85" t="str" cm="1">
        <f t="array" ref="C902">IFERROR(INDEX('03.Muestra'!$F$8:$F$42,SMALL(IF("Página Web"='03.Muestra'!$D$8:$D$42,ROW('03.Muestra'!$F$8:$F$42)-MIN(ROW('03.Muestra'!$D$8:$D$42))+1,""),ROW()-892)),"")</f>
        <v>https://www.comunidad.madrid/transparencia/normativa-planificacion/planes-programas</v>
      </c>
      <c r="D902" s="99" t="s">
        <v>103</v>
      </c>
      <c r="E902" s="79" t="str">
        <f t="shared" si="46"/>
        <v/>
      </c>
      <c r="F902" s="18"/>
      <c r="G902" s="18"/>
      <c r="H902" s="18"/>
      <c r="I902" s="18"/>
      <c r="J902" s="18"/>
      <c r="K902" s="183"/>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Estrategia</v>
      </c>
      <c r="C903" s="85" t="str" cm="1">
        <f t="array" ref="C903">IFERROR(INDEX('03.Muestra'!$F$8:$F$42,SMALL(IF("Página Web"='03.Muestra'!$D$8:$D$42,ROW('03.Muestra'!$F$8:$F$42)-MIN(ROW('03.Muestra'!$D$8:$D$42))+1,""),ROW()-892)),"")</f>
        <v>https://www.comunidad.madrid/transparencia/informacion-institucional/planes-programas/estrategia-seguridad-del-paciente-del-servicio-madrileno</v>
      </c>
      <c r="D903" s="99" t="s">
        <v>103</v>
      </c>
      <c r="E903" s="79" t="str">
        <f t="shared" si="46"/>
        <v/>
      </c>
      <c r="F903" s="18"/>
      <c r="G903" s="18"/>
      <c r="H903" s="18"/>
      <c r="I903" s="18"/>
      <c r="J903" s="18"/>
      <c r="K903" s="183"/>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Huella</v>
      </c>
      <c r="C904" s="85" t="str" cm="1">
        <f t="array" ref="C904">IFERROR(INDEX('03.Muestra'!$F$8:$F$42,SMALL(IF("Página Web"='03.Muestra'!$D$8:$D$42,ROW('03.Muestra'!$F$8:$F$42)-MIN(ROW('03.Muestra'!$D$8:$D$42))+1,""),ROW()-892)),"")</f>
        <v>https://www.comunidad.madrid/transparencia/normativa-planificacion/huella-normativa</v>
      </c>
      <c r="D904" s="99" t="s">
        <v>103</v>
      </c>
      <c r="E904" s="79" t="str">
        <f t="shared" si="46"/>
        <v/>
      </c>
      <c r="F904" s="18"/>
      <c r="G904" s="18"/>
      <c r="H904" s="18"/>
      <c r="I904" s="18"/>
      <c r="J904" s="18"/>
      <c r="K904" s="183"/>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Decreto</v>
      </c>
      <c r="C905" s="85" t="str" cm="1">
        <f t="array" ref="C905">IFERROR(INDEX('03.Muestra'!$F$8:$F$42,SMALL(IF("Página Web"='03.Muestra'!$D$8:$D$42,ROW('03.Muestra'!$F$8:$F$42)-MIN(ROW('03.Muestra'!$D$8:$D$42))+1,""),ROW()-892)),"")</f>
        <v>https://www.comunidad.madrid/transparencia/decreto-del-consejo-gobierno-que-se-establece-estructura-organica-consejeria-familia-juventud-y</v>
      </c>
      <c r="D905" s="99" t="s">
        <v>103</v>
      </c>
      <c r="E905" s="79" t="str">
        <f t="shared" si="46"/>
        <v/>
      </c>
      <c r="F905" s="18"/>
      <c r="G905" s="18"/>
      <c r="H905" s="18"/>
      <c r="I905" s="18"/>
      <c r="J905" s="18"/>
      <c r="K905" s="183"/>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Entidades Locales</v>
      </c>
      <c r="C906" s="85" t="str" cm="1">
        <f t="array" ref="C906">IFERROR(INDEX('03.Muestra'!$F$8:$F$42,SMALL(IF("Página Web"='03.Muestra'!$D$8:$D$42,ROW('03.Muestra'!$F$8:$F$42)-MIN(ROW('03.Muestra'!$D$8:$D$42))+1,""),ROW()-892)),"")</f>
        <v>https://www.comunidad.madrid/transparencia/entidades-locales</v>
      </c>
      <c r="D906" s="99" t="s">
        <v>103</v>
      </c>
      <c r="E906" s="79" t="str">
        <f t="shared" si="46"/>
        <v/>
      </c>
      <c r="F906" s="18"/>
      <c r="G906" s="18"/>
      <c r="H906" s="18"/>
      <c r="I906" s="18"/>
      <c r="J906" s="18"/>
      <c r="K906" s="183"/>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ref="D907:D927" si="47">IF(AND(B907&lt;&gt;"",C907&lt;&gt;""),"N/T","")</f>
        <v/>
      </c>
      <c r="E907" s="79" t="str">
        <f t="shared" si="46"/>
        <v/>
      </c>
      <c r="F907" s="18"/>
      <c r="G907" s="18"/>
      <c r="H907" s="18"/>
      <c r="I907" s="18"/>
      <c r="J907" s="18"/>
      <c r="K907" s="183"/>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3"/>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3"/>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3"/>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3"/>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3"/>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3"/>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3"/>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3"/>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3"/>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3"/>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3"/>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3"/>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3"/>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3"/>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3"/>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3"/>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3"/>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3"/>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3"/>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3"/>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3"/>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3"/>
      <c r="L929" s="18"/>
      <c r="M929" s="18"/>
      <c r="N929" s="18"/>
      <c r="O929" s="18"/>
      <c r="P929" s="18"/>
      <c r="Q929" s="18"/>
      <c r="R929" s="18"/>
      <c r="S929" s="18"/>
      <c r="T929" s="18"/>
      <c r="U929" s="18"/>
      <c r="V929" s="18"/>
      <c r="W929" s="18"/>
      <c r="X929" s="18"/>
      <c r="Y929" s="18"/>
    </row>
    <row r="930" spans="1:25" ht="29.25" customHeight="1">
      <c r="A930" s="172" t="s">
        <v>98</v>
      </c>
      <c r="B930" s="23" t="s">
        <v>90</v>
      </c>
      <c r="C930" s="24" t="s">
        <v>165</v>
      </c>
      <c r="D930" s="25" t="s">
        <v>100</v>
      </c>
      <c r="E930" s="93"/>
      <c r="K930" s="183"/>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https://www.comunidad.madrid/transparencia/</v>
      </c>
      <c r="D931" s="99" t="s">
        <v>103</v>
      </c>
      <c r="E931" s="79" t="str">
        <f t="shared" ref="E931:E965" si="48">IF(D931&lt;&gt;"",IF(AND(B931&lt;&gt;"",C931&lt;&gt;""),"","ERR"),"")</f>
        <v/>
      </c>
      <c r="F931" s="86" t="s">
        <v>101</v>
      </c>
      <c r="G931" s="87" t="s">
        <v>102</v>
      </c>
      <c r="H931" s="88" t="s">
        <v>103</v>
      </c>
      <c r="I931" s="89" t="s">
        <v>93</v>
      </c>
      <c r="J931" s="90" t="s">
        <v>91</v>
      </c>
      <c r="K931" s="178" t="s">
        <v>97</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Aviso legal</v>
      </c>
      <c r="C932" s="85" t="str" cm="1">
        <f t="array" ref="C932">IFERROR(INDEX('03.Muestra'!$F$8:$F$42,SMALL(IF("Página Web"='03.Muestra'!$D$8:$D$42,ROW('03.Muestra'!$F$8:$F$42)-MIN(ROW('03.Muestra'!$D$8:$D$42))+1,""),ROW()-930)),"")</f>
        <v>https://www.comunidad.madrid/transparencia/aviso-legal</v>
      </c>
      <c r="D932" s="99" t="s">
        <v>103</v>
      </c>
      <c r="E932" s="79" t="str">
        <f t="shared" si="48"/>
        <v/>
      </c>
      <c r="F932" s="91">
        <f ca="1">COUNTIF($D931:INDIRECT("$D" &amp;  SUM(ROW()-1,'03.Muestra'!$D$45)-1),F931)</f>
        <v>0</v>
      </c>
      <c r="G932" s="91">
        <f ca="1">COUNTIF($D931:INDIRECT("$D" &amp;  SUM(ROW()-1,'03.Muestra'!$D$45)-1),G931)</f>
        <v>0</v>
      </c>
      <c r="H932" s="91">
        <f ca="1">COUNTIF($D931:INDIRECT("$D" &amp;  SUM(ROW()-1,'03.Muestra'!$D$45)-1),H931)</f>
        <v>14</v>
      </c>
      <c r="I932" s="91">
        <f ca="1">COUNTIF($D931:INDIRECT("$D" &amp;  SUM(ROW()-1,'03.Muestra'!$D$45)-1),I931)</f>
        <v>0</v>
      </c>
      <c r="J932" s="91">
        <f ca="1">COUNTIF($D931:INDIRECT("$D" &amp;  SUM(ROW()-1,'03.Muestra'!$D$45)-1),J931)</f>
        <v>0</v>
      </c>
      <c r="K932" s="179">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Accesibilidad</v>
      </c>
      <c r="C933" s="85" t="str" cm="1">
        <f t="array" ref="C933">IFERROR(INDEX('03.Muestra'!$F$8:$F$42,SMALL(IF("Página Web"='03.Muestra'!$D$8:$D$42,ROW('03.Muestra'!$F$8:$F$42)-MIN(ROW('03.Muestra'!$D$8:$D$42))+1,""),ROW()-930)),"")</f>
        <v>https://www.comunidad.madrid/transparencia/declaracion-accesibilidad</v>
      </c>
      <c r="D933" s="99" t="s">
        <v>103</v>
      </c>
      <c r="E933" s="79" t="str">
        <f t="shared" si="48"/>
        <v/>
      </c>
      <c r="G933" s="18"/>
      <c r="H933" s="18"/>
      <c r="I933" s="18"/>
      <c r="J933" s="18"/>
      <c r="K933" s="183"/>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Tranparencia</v>
      </c>
      <c r="C934" s="85" t="str" cm="1">
        <f t="array" ref="C934">IFERROR(INDEX('03.Muestra'!$F$8:$F$42,SMALL(IF("Página Web"='03.Muestra'!$D$8:$D$42,ROW('03.Muestra'!$F$8:$F$42)-MIN(ROW('03.Muestra'!$D$8:$D$42))+1,""),ROW()-930)),"")</f>
        <v>https://www.comunidad.madrid/transparencia/que-es-transparencia</v>
      </c>
      <c r="D934" s="99" t="s">
        <v>103</v>
      </c>
      <c r="E934" s="79" t="str">
        <f t="shared" si="48"/>
        <v/>
      </c>
      <c r="G934" s="18"/>
      <c r="H934" s="18"/>
      <c r="I934" s="18"/>
      <c r="J934" s="18"/>
      <c r="K934" s="183"/>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Organización</v>
      </c>
      <c r="C935" s="85" t="str" cm="1">
        <f t="array" ref="C935">IFERROR(INDEX('03.Muestra'!$F$8:$F$42,SMALL(IF("Página Web"='03.Muestra'!$D$8:$D$42,ROW('03.Muestra'!$F$8:$F$42)-MIN(ROW('03.Muestra'!$D$8:$D$42))+1,""),ROW()-930)),"")</f>
        <v>https://www.comunidad.madrid/transparencia/organizacion-recursos/organizacion</v>
      </c>
      <c r="D935" s="99" t="s">
        <v>103</v>
      </c>
      <c r="E935" s="79" t="str">
        <f t="shared" si="48"/>
        <v/>
      </c>
      <c r="G935" s="18"/>
      <c r="H935" s="18"/>
      <c r="I935" s="18"/>
      <c r="J935" s="18"/>
      <c r="K935" s="183"/>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Quejas</v>
      </c>
      <c r="C936" s="85" t="str" cm="1">
        <f t="array" ref="C936">IFERROR(INDEX('03.Muestra'!$F$8:$F$42,SMALL(IF("Página Web"='03.Muestra'!$D$8:$D$42,ROW('03.Muestra'!$F$8:$F$42)-MIN(ROW('03.Muestra'!$D$8:$D$42))+1,""),ROW()-930)),"")</f>
        <v>https://www.comunidad.madrid/transparencia/quejas-y-reclamaciones</v>
      </c>
      <c r="D936" s="99" t="s">
        <v>103</v>
      </c>
      <c r="E936" s="79" t="str">
        <f t="shared" si="48"/>
        <v/>
      </c>
      <c r="G936" s="18"/>
      <c r="H936" s="18"/>
      <c r="I936" s="18"/>
      <c r="J936" s="18"/>
      <c r="K936" s="183"/>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Contratos</v>
      </c>
      <c r="C937" s="85" t="str" cm="1">
        <f t="array" ref="C937">IFERROR(INDEX('03.Muestra'!$F$8:$F$42,SMALL(IF("Página Web"='03.Muestra'!$D$8:$D$42,ROW('03.Muestra'!$F$8:$F$42)-MIN(ROW('03.Muestra'!$D$8:$D$42))+1,""),ROW()-930)),"")</f>
        <v>https://www.comunidad.madrid/transparencia/contratos</v>
      </c>
      <c r="D937" s="99" t="s">
        <v>103</v>
      </c>
      <c r="E937" s="79" t="str">
        <f t="shared" si="48"/>
        <v/>
      </c>
      <c r="F937" s="18"/>
      <c r="G937" s="18"/>
      <c r="H937" s="18"/>
      <c r="I937" s="18"/>
      <c r="J937" s="18"/>
      <c r="K937" s="183"/>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Consulta</v>
      </c>
      <c r="C938" s="85" t="str" cm="1">
        <f t="array" ref="C938">IFERROR(INDEX('03.Muestra'!$F$8:$F$42,SMALL(IF("Página Web"='03.Muestra'!$D$8:$D$42,ROW('03.Muestra'!$F$8:$F$42)-MIN(ROW('03.Muestra'!$D$8:$D$42))+1,""),ROW()-930)),"")</f>
        <v>https://www.comunidad.madrid/transparencia/normativa-planificacion/consulta-publica</v>
      </c>
      <c r="D938" s="99" t="s">
        <v>103</v>
      </c>
      <c r="E938" s="79" t="str">
        <f t="shared" si="48"/>
        <v/>
      </c>
      <c r="F938" s="18"/>
      <c r="G938" s="18"/>
      <c r="H938" s="18"/>
      <c r="I938" s="18"/>
      <c r="J938" s="18"/>
      <c r="K938" s="183"/>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Proyecto</v>
      </c>
      <c r="C939" s="85" t="str" cm="1">
        <f t="array" ref="C939">IFERROR(INDEX('03.Muestra'!$F$8:$F$42,SMALL(IF("Página Web"='03.Muestra'!$D$8:$D$42,ROW('03.Muestra'!$F$8:$F$42)-MIN(ROW('03.Muestra'!$D$8:$D$42))+1,""),ROW()-930)),"")</f>
        <v>https://www.comunidad.madrid/transparencia/proyecto-orden-que-se-crea-comision-farmacia-y-productos-sanitarios-cm-y-se-establece-su-composicion</v>
      </c>
      <c r="D939" s="99" t="s">
        <v>103</v>
      </c>
      <c r="E939" s="79" t="str">
        <f t="shared" si="48"/>
        <v/>
      </c>
      <c r="F939" s="18"/>
      <c r="G939" s="18"/>
      <c r="H939" s="18"/>
      <c r="I939" s="18"/>
      <c r="J939" s="18"/>
      <c r="K939" s="183"/>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Planes y Programas</v>
      </c>
      <c r="C940" s="85" t="str" cm="1">
        <f t="array" ref="C940">IFERROR(INDEX('03.Muestra'!$F$8:$F$42,SMALL(IF("Página Web"='03.Muestra'!$D$8:$D$42,ROW('03.Muestra'!$F$8:$F$42)-MIN(ROW('03.Muestra'!$D$8:$D$42))+1,""),ROW()-930)),"")</f>
        <v>https://www.comunidad.madrid/transparencia/normativa-planificacion/planes-programas</v>
      </c>
      <c r="D940" s="99" t="s">
        <v>103</v>
      </c>
      <c r="E940" s="79" t="str">
        <f t="shared" si="48"/>
        <v/>
      </c>
      <c r="F940" s="18"/>
      <c r="G940" s="18"/>
      <c r="H940" s="18"/>
      <c r="I940" s="18"/>
      <c r="J940" s="18"/>
      <c r="K940" s="183"/>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Estrategia</v>
      </c>
      <c r="C941" s="85" t="str" cm="1">
        <f t="array" ref="C941">IFERROR(INDEX('03.Muestra'!$F$8:$F$42,SMALL(IF("Página Web"='03.Muestra'!$D$8:$D$42,ROW('03.Muestra'!$F$8:$F$42)-MIN(ROW('03.Muestra'!$D$8:$D$42))+1,""),ROW()-930)),"")</f>
        <v>https://www.comunidad.madrid/transparencia/informacion-institucional/planes-programas/estrategia-seguridad-del-paciente-del-servicio-madrileno</v>
      </c>
      <c r="D941" s="99" t="s">
        <v>103</v>
      </c>
      <c r="E941" s="79" t="str">
        <f t="shared" si="48"/>
        <v/>
      </c>
      <c r="F941" s="18"/>
      <c r="G941" s="18"/>
      <c r="H941" s="18"/>
      <c r="I941" s="18"/>
      <c r="J941" s="18"/>
      <c r="K941" s="183"/>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Huella</v>
      </c>
      <c r="C942" s="85" t="str" cm="1">
        <f t="array" ref="C942">IFERROR(INDEX('03.Muestra'!$F$8:$F$42,SMALL(IF("Página Web"='03.Muestra'!$D$8:$D$42,ROW('03.Muestra'!$F$8:$F$42)-MIN(ROW('03.Muestra'!$D$8:$D$42))+1,""),ROW()-930)),"")</f>
        <v>https://www.comunidad.madrid/transparencia/normativa-planificacion/huella-normativa</v>
      </c>
      <c r="D942" s="99" t="s">
        <v>103</v>
      </c>
      <c r="E942" s="79" t="str">
        <f t="shared" si="48"/>
        <v/>
      </c>
      <c r="F942" s="18"/>
      <c r="G942" s="18"/>
      <c r="H942" s="18"/>
      <c r="I942" s="18"/>
      <c r="J942" s="18"/>
      <c r="K942" s="183"/>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Decreto</v>
      </c>
      <c r="C943" s="85" t="str" cm="1">
        <f t="array" ref="C943">IFERROR(INDEX('03.Muestra'!$F$8:$F$42,SMALL(IF("Página Web"='03.Muestra'!$D$8:$D$42,ROW('03.Muestra'!$F$8:$F$42)-MIN(ROW('03.Muestra'!$D$8:$D$42))+1,""),ROW()-930)),"")</f>
        <v>https://www.comunidad.madrid/transparencia/decreto-del-consejo-gobierno-que-se-establece-estructura-organica-consejeria-familia-juventud-y</v>
      </c>
      <c r="D943" s="99" t="s">
        <v>103</v>
      </c>
      <c r="E943" s="79" t="str">
        <f t="shared" si="48"/>
        <v/>
      </c>
      <c r="F943" s="18"/>
      <c r="G943" s="18"/>
      <c r="H943" s="18"/>
      <c r="I943" s="18"/>
      <c r="J943" s="18"/>
      <c r="K943" s="183"/>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Entidades Locales</v>
      </c>
      <c r="C944" s="85" t="str" cm="1">
        <f t="array" ref="C944">IFERROR(INDEX('03.Muestra'!$F$8:$F$42,SMALL(IF("Página Web"='03.Muestra'!$D$8:$D$42,ROW('03.Muestra'!$F$8:$F$42)-MIN(ROW('03.Muestra'!$D$8:$D$42))+1,""),ROW()-930)),"")</f>
        <v>https://www.comunidad.madrid/transparencia/entidades-locales</v>
      </c>
      <c r="D944" s="99" t="s">
        <v>103</v>
      </c>
      <c r="E944" s="79" t="str">
        <f t="shared" si="48"/>
        <v/>
      </c>
      <c r="F944" s="18"/>
      <c r="G944" s="18"/>
      <c r="H944" s="18"/>
      <c r="I944" s="18"/>
      <c r="J944" s="18"/>
      <c r="K944" s="183"/>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ref="D945:D965" si="49">IF(AND(B945&lt;&gt;"",C945&lt;&gt;""),"N/T","")</f>
        <v/>
      </c>
      <c r="E945" s="79" t="str">
        <f t="shared" si="48"/>
        <v/>
      </c>
      <c r="F945" s="18"/>
      <c r="G945" s="18"/>
      <c r="H945" s="18"/>
      <c r="I945" s="18"/>
      <c r="J945" s="18"/>
      <c r="K945" s="183"/>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3"/>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3"/>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3"/>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3"/>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3"/>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3"/>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3"/>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3"/>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3"/>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3"/>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3"/>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3"/>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3"/>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3"/>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3"/>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3"/>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3"/>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3"/>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3"/>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3"/>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3"/>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3"/>
      <c r="L967" s="18"/>
      <c r="M967" s="18"/>
      <c r="N967" s="18"/>
      <c r="O967" s="18"/>
      <c r="P967" s="18"/>
      <c r="Q967" s="18"/>
      <c r="R967" s="18"/>
      <c r="S967" s="18"/>
      <c r="T967" s="18"/>
      <c r="U967" s="18"/>
      <c r="V967" s="18"/>
      <c r="W967" s="18"/>
      <c r="X967" s="18"/>
      <c r="Y967" s="18"/>
    </row>
    <row r="968" spans="1:25" ht="29.25" customHeight="1">
      <c r="A968" s="172" t="s">
        <v>98</v>
      </c>
      <c r="B968" s="23" t="s">
        <v>90</v>
      </c>
      <c r="C968" s="24" t="s">
        <v>166</v>
      </c>
      <c r="D968" s="25" t="s">
        <v>100</v>
      </c>
      <c r="E968" s="93"/>
      <c r="K968" s="183"/>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https://www.comunidad.madrid/transparencia/</v>
      </c>
      <c r="D969" s="99" t="s">
        <v>103</v>
      </c>
      <c r="E969" s="79" t="str">
        <f t="shared" ref="E969:E1003" si="50">IF(D969&lt;&gt;"",IF(AND(B969&lt;&gt;"",C969&lt;&gt;""),"","ERR"),"")</f>
        <v/>
      </c>
      <c r="F969" s="86" t="s">
        <v>101</v>
      </c>
      <c r="G969" s="87" t="s">
        <v>102</v>
      </c>
      <c r="H969" s="88" t="s">
        <v>103</v>
      </c>
      <c r="I969" s="89" t="s">
        <v>93</v>
      </c>
      <c r="J969" s="90" t="s">
        <v>91</v>
      </c>
      <c r="K969" s="178" t="s">
        <v>97</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Aviso legal</v>
      </c>
      <c r="C970" s="85" t="str" cm="1">
        <f t="array" ref="C970">IFERROR(INDEX('03.Muestra'!$F$8:$F$42,SMALL(IF("Página Web"='03.Muestra'!$D$8:$D$42,ROW('03.Muestra'!$F$8:$F$42)-MIN(ROW('03.Muestra'!$D$8:$D$42))+1,""),ROW()-968)),"")</f>
        <v>https://www.comunidad.madrid/transparencia/aviso-legal</v>
      </c>
      <c r="D970" s="99" t="s">
        <v>103</v>
      </c>
      <c r="E970" s="79" t="str">
        <f t="shared" si="50"/>
        <v/>
      </c>
      <c r="F970" s="91">
        <f ca="1">COUNTIF($D969:INDIRECT("$D" &amp;  SUM(ROW()-1,'03.Muestra'!$D$45)-1),F969)</f>
        <v>0</v>
      </c>
      <c r="G970" s="91">
        <f ca="1">COUNTIF($D969:INDIRECT("$D" &amp;  SUM(ROW()-1,'03.Muestra'!$D$45)-1),G969)</f>
        <v>0</v>
      </c>
      <c r="H970" s="91">
        <f ca="1">COUNTIF($D969:INDIRECT("$D" &amp;  SUM(ROW()-1,'03.Muestra'!$D$45)-1),H969)</f>
        <v>14</v>
      </c>
      <c r="I970" s="91">
        <f ca="1">COUNTIF($D969:INDIRECT("$D" &amp;  SUM(ROW()-1,'03.Muestra'!$D$45)-1),I969)</f>
        <v>0</v>
      </c>
      <c r="J970" s="91">
        <f ca="1">COUNTIF($D969:INDIRECT("$D" &amp;  SUM(ROW()-1,'03.Muestra'!$D$45)-1),J969)</f>
        <v>0</v>
      </c>
      <c r="K970" s="179">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Accesibilidad</v>
      </c>
      <c r="C971" s="85" t="str" cm="1">
        <f t="array" ref="C971">IFERROR(INDEX('03.Muestra'!$F$8:$F$42,SMALL(IF("Página Web"='03.Muestra'!$D$8:$D$42,ROW('03.Muestra'!$F$8:$F$42)-MIN(ROW('03.Muestra'!$D$8:$D$42))+1,""),ROW()-968)),"")</f>
        <v>https://www.comunidad.madrid/transparencia/declaracion-accesibilidad</v>
      </c>
      <c r="D971" s="99" t="s">
        <v>103</v>
      </c>
      <c r="E971" s="79" t="str">
        <f t="shared" si="50"/>
        <v/>
      </c>
      <c r="K971" s="183"/>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Tranparencia</v>
      </c>
      <c r="C972" s="85" t="str" cm="1">
        <f t="array" ref="C972">IFERROR(INDEX('03.Muestra'!$F$8:$F$42,SMALL(IF("Página Web"='03.Muestra'!$D$8:$D$42,ROW('03.Muestra'!$F$8:$F$42)-MIN(ROW('03.Muestra'!$D$8:$D$42))+1,""),ROW()-968)),"")</f>
        <v>https://www.comunidad.madrid/transparencia/que-es-transparencia</v>
      </c>
      <c r="D972" s="99" t="s">
        <v>103</v>
      </c>
      <c r="E972" s="79" t="str">
        <f t="shared" si="50"/>
        <v/>
      </c>
      <c r="G972" s="18"/>
      <c r="H972" s="18"/>
      <c r="I972" s="18"/>
      <c r="J972" s="18"/>
      <c r="K972" s="183"/>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Organización</v>
      </c>
      <c r="C973" s="85" t="str" cm="1">
        <f t="array" ref="C973">IFERROR(INDEX('03.Muestra'!$F$8:$F$42,SMALL(IF("Página Web"='03.Muestra'!$D$8:$D$42,ROW('03.Muestra'!$F$8:$F$42)-MIN(ROW('03.Muestra'!$D$8:$D$42))+1,""),ROW()-968)),"")</f>
        <v>https://www.comunidad.madrid/transparencia/organizacion-recursos/organizacion</v>
      </c>
      <c r="D973" s="99" t="s">
        <v>103</v>
      </c>
      <c r="E973" s="79" t="str">
        <f t="shared" si="50"/>
        <v/>
      </c>
      <c r="G973" s="18"/>
      <c r="H973" s="18"/>
      <c r="I973" s="18"/>
      <c r="J973" s="18"/>
      <c r="K973" s="183"/>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Quejas</v>
      </c>
      <c r="C974" s="85" t="str" cm="1">
        <f t="array" ref="C974">IFERROR(INDEX('03.Muestra'!$F$8:$F$42,SMALL(IF("Página Web"='03.Muestra'!$D$8:$D$42,ROW('03.Muestra'!$F$8:$F$42)-MIN(ROW('03.Muestra'!$D$8:$D$42))+1,""),ROW()-968)),"")</f>
        <v>https://www.comunidad.madrid/transparencia/quejas-y-reclamaciones</v>
      </c>
      <c r="D974" s="99" t="s">
        <v>103</v>
      </c>
      <c r="E974" s="79" t="str">
        <f t="shared" si="50"/>
        <v/>
      </c>
      <c r="G974" s="18"/>
      <c r="H974" s="18"/>
      <c r="I974" s="18"/>
      <c r="J974" s="18"/>
      <c r="K974" s="183"/>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Contratos</v>
      </c>
      <c r="C975" s="85" t="str" cm="1">
        <f t="array" ref="C975">IFERROR(INDEX('03.Muestra'!$F$8:$F$42,SMALL(IF("Página Web"='03.Muestra'!$D$8:$D$42,ROW('03.Muestra'!$F$8:$F$42)-MIN(ROW('03.Muestra'!$D$8:$D$42))+1,""),ROW()-968)),"")</f>
        <v>https://www.comunidad.madrid/transparencia/contratos</v>
      </c>
      <c r="D975" s="99" t="s">
        <v>103</v>
      </c>
      <c r="E975" s="79" t="str">
        <f t="shared" si="50"/>
        <v/>
      </c>
      <c r="F975" s="18"/>
      <c r="G975" s="18"/>
      <c r="H975" s="18"/>
      <c r="I975" s="18"/>
      <c r="J975" s="18"/>
      <c r="K975" s="183"/>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Consulta</v>
      </c>
      <c r="C976" s="85" t="str" cm="1">
        <f t="array" ref="C976">IFERROR(INDEX('03.Muestra'!$F$8:$F$42,SMALL(IF("Página Web"='03.Muestra'!$D$8:$D$42,ROW('03.Muestra'!$F$8:$F$42)-MIN(ROW('03.Muestra'!$D$8:$D$42))+1,""),ROW()-968)),"")</f>
        <v>https://www.comunidad.madrid/transparencia/normativa-planificacion/consulta-publica</v>
      </c>
      <c r="D976" s="99" t="s">
        <v>103</v>
      </c>
      <c r="E976" s="79" t="str">
        <f t="shared" si="50"/>
        <v/>
      </c>
      <c r="F976" s="18"/>
      <c r="G976" s="18"/>
      <c r="H976" s="18"/>
      <c r="I976" s="18"/>
      <c r="J976" s="18"/>
      <c r="K976" s="183"/>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Proyecto</v>
      </c>
      <c r="C977" s="85" t="str" cm="1">
        <f t="array" ref="C977">IFERROR(INDEX('03.Muestra'!$F$8:$F$42,SMALL(IF("Página Web"='03.Muestra'!$D$8:$D$42,ROW('03.Muestra'!$F$8:$F$42)-MIN(ROW('03.Muestra'!$D$8:$D$42))+1,""),ROW()-968)),"")</f>
        <v>https://www.comunidad.madrid/transparencia/proyecto-orden-que-se-crea-comision-farmacia-y-productos-sanitarios-cm-y-se-establece-su-composicion</v>
      </c>
      <c r="D977" s="99" t="s">
        <v>103</v>
      </c>
      <c r="E977" s="79" t="str">
        <f t="shared" si="50"/>
        <v/>
      </c>
      <c r="F977" s="18"/>
      <c r="G977" s="18"/>
      <c r="H977" s="18"/>
      <c r="I977" s="18"/>
      <c r="J977" s="18"/>
      <c r="K977" s="183"/>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Planes y Programas</v>
      </c>
      <c r="C978" s="85" t="str" cm="1">
        <f t="array" ref="C978">IFERROR(INDEX('03.Muestra'!$F$8:$F$42,SMALL(IF("Página Web"='03.Muestra'!$D$8:$D$42,ROW('03.Muestra'!$F$8:$F$42)-MIN(ROW('03.Muestra'!$D$8:$D$42))+1,""),ROW()-968)),"")</f>
        <v>https://www.comunidad.madrid/transparencia/normativa-planificacion/planes-programas</v>
      </c>
      <c r="D978" s="99" t="s">
        <v>103</v>
      </c>
      <c r="E978" s="79" t="str">
        <f t="shared" si="50"/>
        <v/>
      </c>
      <c r="F978" s="18"/>
      <c r="G978" s="18"/>
      <c r="H978" s="18"/>
      <c r="I978" s="18"/>
      <c r="J978" s="18"/>
      <c r="K978" s="183"/>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Estrategia</v>
      </c>
      <c r="C979" s="85" t="str" cm="1">
        <f t="array" ref="C979">IFERROR(INDEX('03.Muestra'!$F$8:$F$42,SMALL(IF("Página Web"='03.Muestra'!$D$8:$D$42,ROW('03.Muestra'!$F$8:$F$42)-MIN(ROW('03.Muestra'!$D$8:$D$42))+1,""),ROW()-968)),"")</f>
        <v>https://www.comunidad.madrid/transparencia/informacion-institucional/planes-programas/estrategia-seguridad-del-paciente-del-servicio-madrileno</v>
      </c>
      <c r="D979" s="99" t="s">
        <v>103</v>
      </c>
      <c r="E979" s="79" t="str">
        <f t="shared" si="50"/>
        <v/>
      </c>
      <c r="F979" s="18"/>
      <c r="G979" s="18"/>
      <c r="H979" s="18"/>
      <c r="I979" s="18"/>
      <c r="J979" s="18"/>
      <c r="K979" s="183"/>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Huella</v>
      </c>
      <c r="C980" s="85" t="str" cm="1">
        <f t="array" ref="C980">IFERROR(INDEX('03.Muestra'!$F$8:$F$42,SMALL(IF("Página Web"='03.Muestra'!$D$8:$D$42,ROW('03.Muestra'!$F$8:$F$42)-MIN(ROW('03.Muestra'!$D$8:$D$42))+1,""),ROW()-968)),"")</f>
        <v>https://www.comunidad.madrid/transparencia/normativa-planificacion/huella-normativa</v>
      </c>
      <c r="D980" s="99" t="s">
        <v>103</v>
      </c>
      <c r="E980" s="79" t="str">
        <f t="shared" si="50"/>
        <v/>
      </c>
      <c r="F980" s="18"/>
      <c r="G980" s="18"/>
      <c r="H980" s="18"/>
      <c r="I980" s="18"/>
      <c r="J980" s="18"/>
      <c r="K980" s="183"/>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Decreto</v>
      </c>
      <c r="C981" s="85" t="str" cm="1">
        <f t="array" ref="C981">IFERROR(INDEX('03.Muestra'!$F$8:$F$42,SMALL(IF("Página Web"='03.Muestra'!$D$8:$D$42,ROW('03.Muestra'!$F$8:$F$42)-MIN(ROW('03.Muestra'!$D$8:$D$42))+1,""),ROW()-968)),"")</f>
        <v>https://www.comunidad.madrid/transparencia/decreto-del-consejo-gobierno-que-se-establece-estructura-organica-consejeria-familia-juventud-y</v>
      </c>
      <c r="D981" s="99" t="s">
        <v>103</v>
      </c>
      <c r="E981" s="79" t="str">
        <f t="shared" si="50"/>
        <v/>
      </c>
      <c r="F981" s="18"/>
      <c r="G981" s="18"/>
      <c r="H981" s="18"/>
      <c r="I981" s="18"/>
      <c r="J981" s="18"/>
      <c r="K981" s="183"/>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Entidades Locales</v>
      </c>
      <c r="C982" s="85" t="str" cm="1">
        <f t="array" ref="C982">IFERROR(INDEX('03.Muestra'!$F$8:$F$42,SMALL(IF("Página Web"='03.Muestra'!$D$8:$D$42,ROW('03.Muestra'!$F$8:$F$42)-MIN(ROW('03.Muestra'!$D$8:$D$42))+1,""),ROW()-968)),"")</f>
        <v>https://www.comunidad.madrid/transparencia/entidades-locales</v>
      </c>
      <c r="D982" s="99" t="s">
        <v>103</v>
      </c>
      <c r="E982" s="79" t="str">
        <f t="shared" si="50"/>
        <v/>
      </c>
      <c r="F982" s="18"/>
      <c r="G982" s="18"/>
      <c r="H982" s="18"/>
      <c r="I982" s="18"/>
      <c r="J982" s="18"/>
      <c r="K982" s="183"/>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ref="D983:D1003" si="51">IF(AND(B983&lt;&gt;"",C983&lt;&gt;""),"N/T","")</f>
        <v/>
      </c>
      <c r="E983" s="79" t="str">
        <f t="shared" si="50"/>
        <v/>
      </c>
      <c r="F983" s="18"/>
      <c r="G983" s="18"/>
      <c r="H983" s="18"/>
      <c r="I983" s="18"/>
      <c r="J983" s="18"/>
      <c r="K983" s="183"/>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3"/>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3"/>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3"/>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3"/>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3"/>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3"/>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3"/>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3"/>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3"/>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3"/>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3"/>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3"/>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3"/>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3"/>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3"/>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3"/>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3"/>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3"/>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3"/>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3"/>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3"/>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3"/>
      <c r="L1005" s="18"/>
      <c r="M1005" s="18"/>
      <c r="N1005" s="18"/>
      <c r="O1005" s="18"/>
      <c r="P1005" s="18"/>
      <c r="Q1005" s="18"/>
      <c r="R1005" s="18"/>
      <c r="S1005" s="18"/>
      <c r="T1005" s="18"/>
      <c r="U1005" s="18"/>
      <c r="V1005" s="18"/>
      <c r="W1005" s="18"/>
      <c r="X1005" s="18"/>
      <c r="Y1005" s="18"/>
    </row>
    <row r="1006" spans="1:25" ht="29.25" customHeight="1">
      <c r="A1006" s="172" t="s">
        <v>98</v>
      </c>
      <c r="B1006" s="23" t="s">
        <v>90</v>
      </c>
      <c r="C1006" s="24" t="s">
        <v>167</v>
      </c>
      <c r="D1006" s="25" t="s">
        <v>100</v>
      </c>
      <c r="E1006" s="93"/>
      <c r="K1006" s="183"/>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https://www.comunidad.madrid/transparencia/</v>
      </c>
      <c r="D1007" s="99" t="s">
        <v>91</v>
      </c>
      <c r="E1007" s="79" t="str">
        <f t="shared" ref="E1007:E1041" si="52">IF(D1007&lt;&gt;"",IF(AND(B1007&lt;&gt;"",C1007&lt;&gt;""),"","ERR"),"")</f>
        <v/>
      </c>
      <c r="F1007" s="86" t="s">
        <v>101</v>
      </c>
      <c r="G1007" s="87" t="s">
        <v>102</v>
      </c>
      <c r="H1007" s="88" t="s">
        <v>103</v>
      </c>
      <c r="I1007" s="89" t="s">
        <v>93</v>
      </c>
      <c r="J1007" s="90" t="s">
        <v>91</v>
      </c>
      <c r="K1007" s="178" t="s">
        <v>97</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Aviso legal</v>
      </c>
      <c r="C1008" s="85" t="str" cm="1">
        <f t="array" ref="C1008">IFERROR(INDEX('03.Muestra'!$F$8:$F$42,SMALL(IF("Página Web"='03.Muestra'!$D$8:$D$42,ROW('03.Muestra'!$F$8:$F$42)-MIN(ROW('03.Muestra'!$D$8:$D$42))+1,""),ROW()-1006)),"")</f>
        <v>https://www.comunidad.madrid/transparencia/aviso-legal</v>
      </c>
      <c r="D1008" s="99" t="s">
        <v>91</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14</v>
      </c>
      <c r="K1008" s="179">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Accesibilidad</v>
      </c>
      <c r="C1009" s="85" t="str" cm="1">
        <f t="array" ref="C1009">IFERROR(INDEX('03.Muestra'!$F$8:$F$42,SMALL(IF("Página Web"='03.Muestra'!$D$8:$D$42,ROW('03.Muestra'!$F$8:$F$42)-MIN(ROW('03.Muestra'!$D$8:$D$42))+1,""),ROW()-1006)),"")</f>
        <v>https://www.comunidad.madrid/transparencia/declaracion-accesibilidad</v>
      </c>
      <c r="D1009" s="99" t="s">
        <v>91</v>
      </c>
      <c r="E1009" s="79" t="str">
        <f t="shared" si="52"/>
        <v/>
      </c>
      <c r="G1009" s="18"/>
      <c r="H1009" s="18"/>
      <c r="I1009" s="18"/>
      <c r="J1009" s="18"/>
      <c r="K1009" s="183"/>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Tranparencia</v>
      </c>
      <c r="C1010" s="85" t="str" cm="1">
        <f t="array" ref="C1010">IFERROR(INDEX('03.Muestra'!$F$8:$F$42,SMALL(IF("Página Web"='03.Muestra'!$D$8:$D$42,ROW('03.Muestra'!$F$8:$F$42)-MIN(ROW('03.Muestra'!$D$8:$D$42))+1,""),ROW()-1006)),"")</f>
        <v>https://www.comunidad.madrid/transparencia/que-es-transparencia</v>
      </c>
      <c r="D1010" s="99" t="s">
        <v>91</v>
      </c>
      <c r="E1010" s="79" t="str">
        <f t="shared" si="52"/>
        <v/>
      </c>
      <c r="G1010" s="18"/>
      <c r="H1010" s="18"/>
      <c r="I1010" s="18"/>
      <c r="J1010" s="18"/>
      <c r="K1010" s="183"/>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Organización</v>
      </c>
      <c r="C1011" s="85" t="str" cm="1">
        <f t="array" ref="C1011">IFERROR(INDEX('03.Muestra'!$F$8:$F$42,SMALL(IF("Página Web"='03.Muestra'!$D$8:$D$42,ROW('03.Muestra'!$F$8:$F$42)-MIN(ROW('03.Muestra'!$D$8:$D$42))+1,""),ROW()-1006)),"")</f>
        <v>https://www.comunidad.madrid/transparencia/organizacion-recursos/organizacion</v>
      </c>
      <c r="D1011" s="99" t="s">
        <v>91</v>
      </c>
      <c r="E1011" s="79" t="str">
        <f t="shared" si="52"/>
        <v/>
      </c>
      <c r="G1011" s="18"/>
      <c r="H1011" s="18"/>
      <c r="I1011" s="18"/>
      <c r="J1011" s="18"/>
      <c r="K1011" s="183"/>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Quejas</v>
      </c>
      <c r="C1012" s="85" t="str" cm="1">
        <f t="array" ref="C1012">IFERROR(INDEX('03.Muestra'!$F$8:$F$42,SMALL(IF("Página Web"='03.Muestra'!$D$8:$D$42,ROW('03.Muestra'!$F$8:$F$42)-MIN(ROW('03.Muestra'!$D$8:$D$42))+1,""),ROW()-1006)),"")</f>
        <v>https://www.comunidad.madrid/transparencia/quejas-y-reclamaciones</v>
      </c>
      <c r="D1012" s="99" t="s">
        <v>91</v>
      </c>
      <c r="E1012" s="79" t="str">
        <f t="shared" si="52"/>
        <v/>
      </c>
      <c r="G1012" s="18"/>
      <c r="H1012" s="18"/>
      <c r="I1012" s="18"/>
      <c r="J1012" s="18"/>
      <c r="K1012" s="183"/>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Contratos</v>
      </c>
      <c r="C1013" s="85" t="str" cm="1">
        <f t="array" ref="C1013">IFERROR(INDEX('03.Muestra'!$F$8:$F$42,SMALL(IF("Página Web"='03.Muestra'!$D$8:$D$42,ROW('03.Muestra'!$F$8:$F$42)-MIN(ROW('03.Muestra'!$D$8:$D$42))+1,""),ROW()-1006)),"")</f>
        <v>https://www.comunidad.madrid/transparencia/contratos</v>
      </c>
      <c r="D1013" s="99" t="s">
        <v>91</v>
      </c>
      <c r="E1013" s="79" t="str">
        <f t="shared" si="52"/>
        <v/>
      </c>
      <c r="F1013" s="18"/>
      <c r="G1013" s="18"/>
      <c r="H1013" s="18"/>
      <c r="I1013" s="18"/>
      <c r="J1013" s="18"/>
      <c r="K1013" s="183"/>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Consulta</v>
      </c>
      <c r="C1014" s="85" t="str" cm="1">
        <f t="array" ref="C1014">IFERROR(INDEX('03.Muestra'!$F$8:$F$42,SMALL(IF("Página Web"='03.Muestra'!$D$8:$D$42,ROW('03.Muestra'!$F$8:$F$42)-MIN(ROW('03.Muestra'!$D$8:$D$42))+1,""),ROW()-1006)),"")</f>
        <v>https://www.comunidad.madrid/transparencia/normativa-planificacion/consulta-publica</v>
      </c>
      <c r="D1014" s="99" t="s">
        <v>91</v>
      </c>
      <c r="E1014" s="79" t="str">
        <f t="shared" si="52"/>
        <v/>
      </c>
      <c r="F1014" s="18"/>
      <c r="G1014" s="18"/>
      <c r="H1014" s="18"/>
      <c r="I1014" s="18"/>
      <c r="J1014" s="18"/>
      <c r="K1014" s="183"/>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Proyecto</v>
      </c>
      <c r="C1015" s="85" t="str" cm="1">
        <f t="array" ref="C1015">IFERROR(INDEX('03.Muestra'!$F$8:$F$42,SMALL(IF("Página Web"='03.Muestra'!$D$8:$D$42,ROW('03.Muestra'!$F$8:$F$42)-MIN(ROW('03.Muestra'!$D$8:$D$42))+1,""),ROW()-1006)),"")</f>
        <v>https://www.comunidad.madrid/transparencia/proyecto-orden-que-se-crea-comision-farmacia-y-productos-sanitarios-cm-y-se-establece-su-composicion</v>
      </c>
      <c r="D1015" s="99" t="s">
        <v>91</v>
      </c>
      <c r="E1015" s="79" t="str">
        <f t="shared" si="52"/>
        <v/>
      </c>
      <c r="F1015" s="18"/>
      <c r="G1015" s="18"/>
      <c r="H1015" s="18"/>
      <c r="I1015" s="18"/>
      <c r="J1015" s="18"/>
      <c r="K1015" s="183"/>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Planes y Programas</v>
      </c>
      <c r="C1016" s="85" t="str" cm="1">
        <f t="array" ref="C1016">IFERROR(INDEX('03.Muestra'!$F$8:$F$42,SMALL(IF("Página Web"='03.Muestra'!$D$8:$D$42,ROW('03.Muestra'!$F$8:$F$42)-MIN(ROW('03.Muestra'!$D$8:$D$42))+1,""),ROW()-1006)),"")</f>
        <v>https://www.comunidad.madrid/transparencia/normativa-planificacion/planes-programas</v>
      </c>
      <c r="D1016" s="99" t="s">
        <v>91</v>
      </c>
      <c r="E1016" s="79" t="str">
        <f t="shared" si="52"/>
        <v/>
      </c>
      <c r="F1016" s="18"/>
      <c r="G1016" s="18"/>
      <c r="H1016" s="18"/>
      <c r="I1016" s="18"/>
      <c r="J1016" s="18"/>
      <c r="K1016" s="183"/>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Estrategia</v>
      </c>
      <c r="C1017" s="85" t="str" cm="1">
        <f t="array" ref="C1017">IFERROR(INDEX('03.Muestra'!$F$8:$F$42,SMALL(IF("Página Web"='03.Muestra'!$D$8:$D$42,ROW('03.Muestra'!$F$8:$F$42)-MIN(ROW('03.Muestra'!$D$8:$D$42))+1,""),ROW()-1006)),"")</f>
        <v>https://www.comunidad.madrid/transparencia/informacion-institucional/planes-programas/estrategia-seguridad-del-paciente-del-servicio-madrileno</v>
      </c>
      <c r="D1017" s="99" t="s">
        <v>91</v>
      </c>
      <c r="E1017" s="79" t="str">
        <f t="shared" si="52"/>
        <v/>
      </c>
      <c r="F1017" s="18"/>
      <c r="G1017" s="18"/>
      <c r="H1017" s="18"/>
      <c r="I1017" s="18"/>
      <c r="J1017" s="18"/>
      <c r="K1017" s="183"/>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Huella</v>
      </c>
      <c r="C1018" s="85" t="str" cm="1">
        <f t="array" ref="C1018">IFERROR(INDEX('03.Muestra'!$F$8:$F$42,SMALL(IF("Página Web"='03.Muestra'!$D$8:$D$42,ROW('03.Muestra'!$F$8:$F$42)-MIN(ROW('03.Muestra'!$D$8:$D$42))+1,""),ROW()-1006)),"")</f>
        <v>https://www.comunidad.madrid/transparencia/normativa-planificacion/huella-normativa</v>
      </c>
      <c r="D1018" s="99" t="s">
        <v>91</v>
      </c>
      <c r="E1018" s="79" t="str">
        <f t="shared" si="52"/>
        <v/>
      </c>
      <c r="F1018" s="18"/>
      <c r="G1018" s="18"/>
      <c r="H1018" s="18"/>
      <c r="I1018" s="18"/>
      <c r="J1018" s="18"/>
      <c r="K1018" s="183"/>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Decreto</v>
      </c>
      <c r="C1019" s="85" t="str" cm="1">
        <f t="array" ref="C1019">IFERROR(INDEX('03.Muestra'!$F$8:$F$42,SMALL(IF("Página Web"='03.Muestra'!$D$8:$D$42,ROW('03.Muestra'!$F$8:$F$42)-MIN(ROW('03.Muestra'!$D$8:$D$42))+1,""),ROW()-1006)),"")</f>
        <v>https://www.comunidad.madrid/transparencia/decreto-del-consejo-gobierno-que-se-establece-estructura-organica-consejeria-familia-juventud-y</v>
      </c>
      <c r="D1019" s="99" t="s">
        <v>91</v>
      </c>
      <c r="E1019" s="79" t="str">
        <f t="shared" si="52"/>
        <v/>
      </c>
      <c r="F1019" s="18"/>
      <c r="G1019" s="18"/>
      <c r="H1019" s="18"/>
      <c r="I1019" s="18"/>
      <c r="J1019" s="18"/>
      <c r="K1019" s="183"/>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Entidades Locales</v>
      </c>
      <c r="C1020" s="85" t="str" cm="1">
        <f t="array" ref="C1020">IFERROR(INDEX('03.Muestra'!$F$8:$F$42,SMALL(IF("Página Web"='03.Muestra'!$D$8:$D$42,ROW('03.Muestra'!$F$8:$F$42)-MIN(ROW('03.Muestra'!$D$8:$D$42))+1,""),ROW()-1006)),"")</f>
        <v>https://www.comunidad.madrid/transparencia/entidades-locales</v>
      </c>
      <c r="D1020" s="99" t="s">
        <v>91</v>
      </c>
      <c r="E1020" s="79" t="str">
        <f t="shared" si="52"/>
        <v/>
      </c>
      <c r="F1020" s="18"/>
      <c r="G1020" s="18"/>
      <c r="H1020" s="18"/>
      <c r="I1020" s="18"/>
      <c r="J1020" s="18"/>
      <c r="K1020" s="183"/>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ref="D1021:D1041" si="53">IF(AND(B1021&lt;&gt;"",C1021&lt;&gt;""),"N/T","")</f>
        <v/>
      </c>
      <c r="E1021" s="79" t="str">
        <f t="shared" si="52"/>
        <v/>
      </c>
      <c r="F1021" s="18"/>
      <c r="G1021" s="18"/>
      <c r="H1021" s="18"/>
      <c r="I1021" s="18"/>
      <c r="J1021" s="18"/>
      <c r="K1021" s="183"/>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3"/>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3"/>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3"/>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3"/>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3"/>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3"/>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3"/>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3"/>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3"/>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3"/>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3"/>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3"/>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3"/>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3"/>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3"/>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3"/>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3"/>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3"/>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3"/>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3"/>
      <c r="L1041" s="18"/>
      <c r="M1041" s="18"/>
      <c r="N1041" s="18"/>
      <c r="O1041" s="18"/>
      <c r="P1041" s="18"/>
      <c r="Q1041" s="18"/>
      <c r="R1041" s="18"/>
      <c r="S1041" s="18"/>
      <c r="T1041" s="18"/>
      <c r="U1041" s="18"/>
      <c r="V1041" s="18"/>
      <c r="W1041" s="18"/>
      <c r="X1041" s="18"/>
      <c r="Y1041" s="18"/>
    </row>
    <row r="1042" spans="1:25" ht="12" customHeight="1">
      <c r="B1042" s="123"/>
      <c r="C1042" s="123"/>
      <c r="D1042" s="124"/>
      <c r="E1042" s="79"/>
      <c r="F1042" s="18"/>
      <c r="G1042" s="18"/>
      <c r="H1042" s="18"/>
      <c r="I1042" s="18"/>
      <c r="J1042" s="18"/>
      <c r="K1042" s="183"/>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3"/>
      <c r="L1043" s="18"/>
      <c r="M1043" s="18"/>
      <c r="N1043" s="18"/>
      <c r="O1043" s="18"/>
      <c r="P1043" s="18"/>
      <c r="Q1043" s="18"/>
      <c r="R1043" s="18"/>
      <c r="S1043" s="18"/>
      <c r="T1043" s="18"/>
      <c r="U1043" s="18"/>
      <c r="V1043" s="18"/>
      <c r="W1043" s="18"/>
      <c r="X1043" s="18"/>
      <c r="Y1043" s="18"/>
    </row>
    <row r="1044" spans="1:25" ht="29.25" customHeight="1">
      <c r="A1044" s="172" t="s">
        <v>98</v>
      </c>
      <c r="B1044" s="23" t="s">
        <v>90</v>
      </c>
      <c r="C1044" s="24" t="s">
        <v>168</v>
      </c>
      <c r="D1044" s="25" t="s">
        <v>100</v>
      </c>
      <c r="E1044" s="93"/>
      <c r="K1044" s="183"/>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https://www.comunidad.madrid/transparencia/</v>
      </c>
      <c r="D1045" s="99" t="s">
        <v>91</v>
      </c>
      <c r="E1045" s="79" t="str">
        <f t="shared" ref="E1045:E1079" si="54">IF(D1045&lt;&gt;"",IF(AND(B1045&lt;&gt;"",C1045&lt;&gt;""),"","ERR"),"")</f>
        <v/>
      </c>
      <c r="F1045" s="86" t="s">
        <v>101</v>
      </c>
      <c r="G1045" s="87" t="s">
        <v>102</v>
      </c>
      <c r="H1045" s="88" t="s">
        <v>103</v>
      </c>
      <c r="I1045" s="89" t="s">
        <v>93</v>
      </c>
      <c r="J1045" s="90" t="s">
        <v>91</v>
      </c>
      <c r="K1045" s="178" t="s">
        <v>97</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Aviso legal</v>
      </c>
      <c r="C1046" s="85" t="str" cm="1">
        <f t="array" ref="C1046">IFERROR(INDEX('03.Muestra'!$F$8:$F$42,SMALL(IF("Página Web"='03.Muestra'!$D$8:$D$42,ROW('03.Muestra'!$F$8:$F$42)-MIN(ROW('03.Muestra'!$D$8:$D$42))+1,""),ROW()-1044)),"")</f>
        <v>https://www.comunidad.madrid/transparencia/aviso-legal</v>
      </c>
      <c r="D1046" s="99" t="s">
        <v>91</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14</v>
      </c>
      <c r="K1046" s="179">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Accesibilidad</v>
      </c>
      <c r="C1047" s="85" t="str" cm="1">
        <f t="array" ref="C1047">IFERROR(INDEX('03.Muestra'!$F$8:$F$42,SMALL(IF("Página Web"='03.Muestra'!$D$8:$D$42,ROW('03.Muestra'!$F$8:$F$42)-MIN(ROW('03.Muestra'!$D$8:$D$42))+1,""),ROW()-1044)),"")</f>
        <v>https://www.comunidad.madrid/transparencia/declaracion-accesibilidad</v>
      </c>
      <c r="D1047" s="99" t="s">
        <v>91</v>
      </c>
      <c r="E1047" s="79" t="str">
        <f t="shared" si="54"/>
        <v/>
      </c>
      <c r="G1047" s="18"/>
      <c r="H1047" s="18"/>
      <c r="I1047" s="18"/>
      <c r="J1047" s="18"/>
      <c r="K1047" s="183"/>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Tranparencia</v>
      </c>
      <c r="C1048" s="85" t="str" cm="1">
        <f t="array" ref="C1048">IFERROR(INDEX('03.Muestra'!$F$8:$F$42,SMALL(IF("Página Web"='03.Muestra'!$D$8:$D$42,ROW('03.Muestra'!$F$8:$F$42)-MIN(ROW('03.Muestra'!$D$8:$D$42))+1,""),ROW()-1044)),"")</f>
        <v>https://www.comunidad.madrid/transparencia/que-es-transparencia</v>
      </c>
      <c r="D1048" s="99" t="s">
        <v>91</v>
      </c>
      <c r="E1048" s="79" t="str">
        <f t="shared" si="54"/>
        <v/>
      </c>
      <c r="G1048" s="18"/>
      <c r="H1048" s="18"/>
      <c r="I1048" s="18"/>
      <c r="J1048" s="18"/>
      <c r="K1048" s="183"/>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Organización</v>
      </c>
      <c r="C1049" s="85" t="str" cm="1">
        <f t="array" ref="C1049">IFERROR(INDEX('03.Muestra'!$F$8:$F$42,SMALL(IF("Página Web"='03.Muestra'!$D$8:$D$42,ROW('03.Muestra'!$F$8:$F$42)-MIN(ROW('03.Muestra'!$D$8:$D$42))+1,""),ROW()-1044)),"")</f>
        <v>https://www.comunidad.madrid/transparencia/organizacion-recursos/organizacion</v>
      </c>
      <c r="D1049" s="99" t="s">
        <v>91</v>
      </c>
      <c r="E1049" s="79" t="str">
        <f t="shared" si="54"/>
        <v/>
      </c>
      <c r="G1049" s="18"/>
      <c r="H1049" s="18"/>
      <c r="I1049" s="18"/>
      <c r="J1049" s="18"/>
      <c r="K1049" s="183"/>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Quejas</v>
      </c>
      <c r="C1050" s="85" t="str" cm="1">
        <f t="array" ref="C1050">IFERROR(INDEX('03.Muestra'!$F$8:$F$42,SMALL(IF("Página Web"='03.Muestra'!$D$8:$D$42,ROW('03.Muestra'!$F$8:$F$42)-MIN(ROW('03.Muestra'!$D$8:$D$42))+1,""),ROW()-1044)),"")</f>
        <v>https://www.comunidad.madrid/transparencia/quejas-y-reclamaciones</v>
      </c>
      <c r="D1050" s="99" t="s">
        <v>91</v>
      </c>
      <c r="E1050" s="79" t="str">
        <f t="shared" si="54"/>
        <v/>
      </c>
      <c r="G1050" s="18"/>
      <c r="H1050" s="18"/>
      <c r="I1050" s="18"/>
      <c r="J1050" s="18"/>
      <c r="K1050" s="183"/>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Contratos</v>
      </c>
      <c r="C1051" s="85" t="str" cm="1">
        <f t="array" ref="C1051">IFERROR(INDEX('03.Muestra'!$F$8:$F$42,SMALL(IF("Página Web"='03.Muestra'!$D$8:$D$42,ROW('03.Muestra'!$F$8:$F$42)-MIN(ROW('03.Muestra'!$D$8:$D$42))+1,""),ROW()-1044)),"")</f>
        <v>https://www.comunidad.madrid/transparencia/contratos</v>
      </c>
      <c r="D1051" s="99" t="s">
        <v>91</v>
      </c>
      <c r="E1051" s="79" t="str">
        <f t="shared" si="54"/>
        <v/>
      </c>
      <c r="F1051" s="18"/>
      <c r="G1051" s="18"/>
      <c r="H1051" s="18"/>
      <c r="I1051" s="18"/>
      <c r="J1051" s="18"/>
      <c r="K1051" s="183"/>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Consulta</v>
      </c>
      <c r="C1052" s="85" t="str" cm="1">
        <f t="array" ref="C1052">IFERROR(INDEX('03.Muestra'!$F$8:$F$42,SMALL(IF("Página Web"='03.Muestra'!$D$8:$D$42,ROW('03.Muestra'!$F$8:$F$42)-MIN(ROW('03.Muestra'!$D$8:$D$42))+1,""),ROW()-1044)),"")</f>
        <v>https://www.comunidad.madrid/transparencia/normativa-planificacion/consulta-publica</v>
      </c>
      <c r="D1052" s="99" t="s">
        <v>91</v>
      </c>
      <c r="E1052" s="79" t="str">
        <f t="shared" si="54"/>
        <v/>
      </c>
      <c r="F1052" s="18"/>
      <c r="G1052" s="18"/>
      <c r="H1052" s="18"/>
      <c r="I1052" s="18"/>
      <c r="J1052" s="18"/>
      <c r="K1052" s="183"/>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Proyecto</v>
      </c>
      <c r="C1053" s="85" t="str" cm="1">
        <f t="array" ref="C1053">IFERROR(INDEX('03.Muestra'!$F$8:$F$42,SMALL(IF("Página Web"='03.Muestra'!$D$8:$D$42,ROW('03.Muestra'!$F$8:$F$42)-MIN(ROW('03.Muestra'!$D$8:$D$42))+1,""),ROW()-1044)),"")</f>
        <v>https://www.comunidad.madrid/transparencia/proyecto-orden-que-se-crea-comision-farmacia-y-productos-sanitarios-cm-y-se-establece-su-composicion</v>
      </c>
      <c r="D1053" s="99" t="s">
        <v>91</v>
      </c>
      <c r="E1053" s="79" t="str">
        <f t="shared" si="54"/>
        <v/>
      </c>
      <c r="F1053" s="18"/>
      <c r="G1053" s="18"/>
      <c r="H1053" s="18"/>
      <c r="I1053" s="18"/>
      <c r="J1053" s="18"/>
      <c r="K1053" s="183"/>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Planes y Programas</v>
      </c>
      <c r="C1054" s="85" t="str" cm="1">
        <f t="array" ref="C1054">IFERROR(INDEX('03.Muestra'!$F$8:$F$42,SMALL(IF("Página Web"='03.Muestra'!$D$8:$D$42,ROW('03.Muestra'!$F$8:$F$42)-MIN(ROW('03.Muestra'!$D$8:$D$42))+1,""),ROW()-1044)),"")</f>
        <v>https://www.comunidad.madrid/transparencia/normativa-planificacion/planes-programas</v>
      </c>
      <c r="D1054" s="99" t="s">
        <v>91</v>
      </c>
      <c r="E1054" s="79" t="str">
        <f t="shared" si="54"/>
        <v/>
      </c>
      <c r="F1054" s="18"/>
      <c r="G1054" s="18"/>
      <c r="H1054" s="18"/>
      <c r="I1054" s="18"/>
      <c r="J1054" s="18"/>
      <c r="K1054" s="183"/>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Estrategia</v>
      </c>
      <c r="C1055" s="85" t="str" cm="1">
        <f t="array" ref="C1055">IFERROR(INDEX('03.Muestra'!$F$8:$F$42,SMALL(IF("Página Web"='03.Muestra'!$D$8:$D$42,ROW('03.Muestra'!$F$8:$F$42)-MIN(ROW('03.Muestra'!$D$8:$D$42))+1,""),ROW()-1044)),"")</f>
        <v>https://www.comunidad.madrid/transparencia/informacion-institucional/planes-programas/estrategia-seguridad-del-paciente-del-servicio-madrileno</v>
      </c>
      <c r="D1055" s="99" t="s">
        <v>91</v>
      </c>
      <c r="E1055" s="79" t="str">
        <f t="shared" si="54"/>
        <v/>
      </c>
      <c r="F1055" s="18"/>
      <c r="G1055" s="18"/>
      <c r="H1055" s="18"/>
      <c r="I1055" s="18"/>
      <c r="J1055" s="18"/>
      <c r="K1055" s="183"/>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Huella</v>
      </c>
      <c r="C1056" s="85" t="str" cm="1">
        <f t="array" ref="C1056">IFERROR(INDEX('03.Muestra'!$F$8:$F$42,SMALL(IF("Página Web"='03.Muestra'!$D$8:$D$42,ROW('03.Muestra'!$F$8:$F$42)-MIN(ROW('03.Muestra'!$D$8:$D$42))+1,""),ROW()-1044)),"")</f>
        <v>https://www.comunidad.madrid/transparencia/normativa-planificacion/huella-normativa</v>
      </c>
      <c r="D1056" s="99" t="s">
        <v>91</v>
      </c>
      <c r="E1056" s="79" t="str">
        <f t="shared" si="54"/>
        <v/>
      </c>
      <c r="F1056" s="18"/>
      <c r="G1056" s="18"/>
      <c r="H1056" s="18"/>
      <c r="I1056" s="18"/>
      <c r="J1056" s="18"/>
      <c r="K1056" s="183"/>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Decreto</v>
      </c>
      <c r="C1057" s="85" t="str" cm="1">
        <f t="array" ref="C1057">IFERROR(INDEX('03.Muestra'!$F$8:$F$42,SMALL(IF("Página Web"='03.Muestra'!$D$8:$D$42,ROW('03.Muestra'!$F$8:$F$42)-MIN(ROW('03.Muestra'!$D$8:$D$42))+1,""),ROW()-1044)),"")</f>
        <v>https://www.comunidad.madrid/transparencia/decreto-del-consejo-gobierno-que-se-establece-estructura-organica-consejeria-familia-juventud-y</v>
      </c>
      <c r="D1057" s="99" t="s">
        <v>91</v>
      </c>
      <c r="E1057" s="79" t="str">
        <f t="shared" si="54"/>
        <v/>
      </c>
      <c r="F1057" s="18"/>
      <c r="G1057" s="18"/>
      <c r="H1057" s="18"/>
      <c r="I1057" s="18"/>
      <c r="J1057" s="18"/>
      <c r="K1057" s="183"/>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Entidades Locales</v>
      </c>
      <c r="C1058" s="85" t="str" cm="1">
        <f t="array" ref="C1058">IFERROR(INDEX('03.Muestra'!$F$8:$F$42,SMALL(IF("Página Web"='03.Muestra'!$D$8:$D$42,ROW('03.Muestra'!$F$8:$F$42)-MIN(ROW('03.Muestra'!$D$8:$D$42))+1,""),ROW()-1044)),"")</f>
        <v>https://www.comunidad.madrid/transparencia/entidades-locales</v>
      </c>
      <c r="D1058" s="99" t="s">
        <v>91</v>
      </c>
      <c r="E1058" s="79" t="str">
        <f t="shared" si="54"/>
        <v/>
      </c>
      <c r="F1058" s="18"/>
      <c r="G1058" s="18"/>
      <c r="H1058" s="18"/>
      <c r="I1058" s="18"/>
      <c r="J1058" s="18"/>
      <c r="K1058" s="183"/>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ref="D1059:D1079" si="55">IF(AND(B1059&lt;&gt;"",C1059&lt;&gt;""),"N/T","")</f>
        <v/>
      </c>
      <c r="E1059" s="79" t="str">
        <f t="shared" si="54"/>
        <v/>
      </c>
      <c r="F1059" s="18"/>
      <c r="G1059" s="18"/>
      <c r="H1059" s="18"/>
      <c r="I1059" s="18"/>
      <c r="J1059" s="18"/>
      <c r="K1059" s="183"/>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3"/>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3"/>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3"/>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3"/>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3"/>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3"/>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3"/>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3"/>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3"/>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3"/>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3"/>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3"/>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3"/>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3"/>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3"/>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3"/>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3"/>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3"/>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3"/>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3"/>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3"/>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3"/>
      <c r="L1081" s="18"/>
      <c r="M1081" s="18"/>
      <c r="N1081" s="18"/>
      <c r="O1081" s="18"/>
      <c r="P1081" s="18"/>
      <c r="Q1081" s="18"/>
      <c r="R1081" s="18"/>
      <c r="S1081" s="18"/>
      <c r="T1081" s="18"/>
      <c r="U1081" s="18"/>
      <c r="V1081" s="18"/>
      <c r="W1081" s="18"/>
      <c r="X1081" s="18"/>
      <c r="Y1081" s="18"/>
    </row>
    <row r="1082" spans="1:25" ht="29.25" customHeight="1">
      <c r="A1082" s="172" t="s">
        <v>98</v>
      </c>
      <c r="B1082" s="23" t="s">
        <v>90</v>
      </c>
      <c r="C1082" s="24" t="s">
        <v>169</v>
      </c>
      <c r="D1082" s="25" t="s">
        <v>100</v>
      </c>
      <c r="E1082" s="93"/>
      <c r="K1082" s="183"/>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https://www.comunidad.madrid/transparencia/</v>
      </c>
      <c r="D1083" s="99" t="s">
        <v>91</v>
      </c>
      <c r="E1083" s="79" t="str">
        <f t="shared" ref="E1083:E1117" si="56">IF(D1083&lt;&gt;"",IF(AND(B1083&lt;&gt;"",C1083&lt;&gt;""),"","ERR"),"")</f>
        <v/>
      </c>
      <c r="F1083" s="86" t="s">
        <v>101</v>
      </c>
      <c r="G1083" s="87" t="s">
        <v>102</v>
      </c>
      <c r="H1083" s="88" t="s">
        <v>103</v>
      </c>
      <c r="I1083" s="89" t="s">
        <v>93</v>
      </c>
      <c r="J1083" s="90" t="s">
        <v>91</v>
      </c>
      <c r="K1083" s="178" t="s">
        <v>97</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Aviso legal</v>
      </c>
      <c r="C1084" s="85" t="str" cm="1">
        <f t="array" ref="C1084">IFERROR(INDEX('03.Muestra'!$F$8:$F$42,SMALL(IF("Página Web"='03.Muestra'!$D$8:$D$42,ROW('03.Muestra'!$F$8:$F$42)-MIN(ROW('03.Muestra'!$D$8:$D$42))+1,""),ROW()-1082)),"")</f>
        <v>https://www.comunidad.madrid/transparencia/aviso-legal</v>
      </c>
      <c r="D1084" s="99" t="s">
        <v>91</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14</v>
      </c>
      <c r="K1084" s="179">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Accesibilidad</v>
      </c>
      <c r="C1085" s="85" t="str" cm="1">
        <f t="array" ref="C1085">IFERROR(INDEX('03.Muestra'!$F$8:$F$42,SMALL(IF("Página Web"='03.Muestra'!$D$8:$D$42,ROW('03.Muestra'!$F$8:$F$42)-MIN(ROW('03.Muestra'!$D$8:$D$42))+1,""),ROW()-1082)),"")</f>
        <v>https://www.comunidad.madrid/transparencia/declaracion-accesibilidad</v>
      </c>
      <c r="D1085" s="99" t="s">
        <v>91</v>
      </c>
      <c r="E1085" s="79" t="str">
        <f t="shared" si="56"/>
        <v/>
      </c>
      <c r="G1085" s="18"/>
      <c r="H1085" s="18"/>
      <c r="I1085" s="18"/>
      <c r="J1085" s="18"/>
      <c r="K1085" s="183"/>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Tranparencia</v>
      </c>
      <c r="C1086" s="85" t="str" cm="1">
        <f t="array" ref="C1086">IFERROR(INDEX('03.Muestra'!$F$8:$F$42,SMALL(IF("Página Web"='03.Muestra'!$D$8:$D$42,ROW('03.Muestra'!$F$8:$F$42)-MIN(ROW('03.Muestra'!$D$8:$D$42))+1,""),ROW()-1082)),"")</f>
        <v>https://www.comunidad.madrid/transparencia/que-es-transparencia</v>
      </c>
      <c r="D1086" s="99" t="s">
        <v>91</v>
      </c>
      <c r="E1086" s="79" t="str">
        <f t="shared" si="56"/>
        <v/>
      </c>
      <c r="G1086" s="18"/>
      <c r="H1086" s="18"/>
      <c r="I1086" s="18"/>
      <c r="J1086" s="18"/>
      <c r="K1086" s="183"/>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Organización</v>
      </c>
      <c r="C1087" s="85" t="str" cm="1">
        <f t="array" ref="C1087">IFERROR(INDEX('03.Muestra'!$F$8:$F$42,SMALL(IF("Página Web"='03.Muestra'!$D$8:$D$42,ROW('03.Muestra'!$F$8:$F$42)-MIN(ROW('03.Muestra'!$D$8:$D$42))+1,""),ROW()-1082)),"")</f>
        <v>https://www.comunidad.madrid/transparencia/organizacion-recursos/organizacion</v>
      </c>
      <c r="D1087" s="99" t="s">
        <v>91</v>
      </c>
      <c r="E1087" s="79" t="str">
        <f t="shared" si="56"/>
        <v/>
      </c>
      <c r="G1087" s="18"/>
      <c r="H1087" s="18"/>
      <c r="I1087" s="18"/>
      <c r="J1087" s="18"/>
      <c r="K1087" s="183"/>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Quejas</v>
      </c>
      <c r="C1088" s="85" t="str" cm="1">
        <f t="array" ref="C1088">IFERROR(INDEX('03.Muestra'!$F$8:$F$42,SMALL(IF("Página Web"='03.Muestra'!$D$8:$D$42,ROW('03.Muestra'!$F$8:$F$42)-MIN(ROW('03.Muestra'!$D$8:$D$42))+1,""),ROW()-1082)),"")</f>
        <v>https://www.comunidad.madrid/transparencia/quejas-y-reclamaciones</v>
      </c>
      <c r="D1088" s="99" t="s">
        <v>91</v>
      </c>
      <c r="E1088" s="79" t="str">
        <f t="shared" si="56"/>
        <v/>
      </c>
      <c r="G1088" s="18"/>
      <c r="H1088" s="18"/>
      <c r="I1088" s="18"/>
      <c r="J1088" s="18"/>
      <c r="K1088" s="183"/>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Contratos</v>
      </c>
      <c r="C1089" s="85" t="str" cm="1">
        <f t="array" ref="C1089">IFERROR(INDEX('03.Muestra'!$F$8:$F$42,SMALL(IF("Página Web"='03.Muestra'!$D$8:$D$42,ROW('03.Muestra'!$F$8:$F$42)-MIN(ROW('03.Muestra'!$D$8:$D$42))+1,""),ROW()-1082)),"")</f>
        <v>https://www.comunidad.madrid/transparencia/contratos</v>
      </c>
      <c r="D1089" s="99" t="s">
        <v>91</v>
      </c>
      <c r="E1089" s="79" t="str">
        <f t="shared" si="56"/>
        <v/>
      </c>
      <c r="F1089" s="18"/>
      <c r="G1089" s="18"/>
      <c r="H1089" s="18"/>
      <c r="I1089" s="18"/>
      <c r="J1089" s="18"/>
      <c r="K1089" s="183"/>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Consulta</v>
      </c>
      <c r="C1090" s="85" t="str" cm="1">
        <f t="array" ref="C1090">IFERROR(INDEX('03.Muestra'!$F$8:$F$42,SMALL(IF("Página Web"='03.Muestra'!$D$8:$D$42,ROW('03.Muestra'!$F$8:$F$42)-MIN(ROW('03.Muestra'!$D$8:$D$42))+1,""),ROW()-1082)),"")</f>
        <v>https://www.comunidad.madrid/transparencia/normativa-planificacion/consulta-publica</v>
      </c>
      <c r="D1090" s="99" t="s">
        <v>91</v>
      </c>
      <c r="E1090" s="79" t="str">
        <f t="shared" si="56"/>
        <v/>
      </c>
      <c r="F1090" s="18"/>
      <c r="G1090" s="18"/>
      <c r="H1090" s="18"/>
      <c r="I1090" s="18"/>
      <c r="J1090" s="18"/>
      <c r="K1090" s="183"/>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Proyecto</v>
      </c>
      <c r="C1091" s="85" t="str" cm="1">
        <f t="array" ref="C1091">IFERROR(INDEX('03.Muestra'!$F$8:$F$42,SMALL(IF("Página Web"='03.Muestra'!$D$8:$D$42,ROW('03.Muestra'!$F$8:$F$42)-MIN(ROW('03.Muestra'!$D$8:$D$42))+1,""),ROW()-1082)),"")</f>
        <v>https://www.comunidad.madrid/transparencia/proyecto-orden-que-se-crea-comision-farmacia-y-productos-sanitarios-cm-y-se-establece-su-composicion</v>
      </c>
      <c r="D1091" s="99" t="s">
        <v>91</v>
      </c>
      <c r="E1091" s="79" t="str">
        <f t="shared" si="56"/>
        <v/>
      </c>
      <c r="F1091" s="18"/>
      <c r="G1091" s="18"/>
      <c r="H1091" s="18"/>
      <c r="I1091" s="18"/>
      <c r="J1091" s="18"/>
      <c r="K1091" s="183"/>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Planes y Programas</v>
      </c>
      <c r="C1092" s="85" t="str" cm="1">
        <f t="array" ref="C1092">IFERROR(INDEX('03.Muestra'!$F$8:$F$42,SMALL(IF("Página Web"='03.Muestra'!$D$8:$D$42,ROW('03.Muestra'!$F$8:$F$42)-MIN(ROW('03.Muestra'!$D$8:$D$42))+1,""),ROW()-1082)),"")</f>
        <v>https://www.comunidad.madrid/transparencia/normativa-planificacion/planes-programas</v>
      </c>
      <c r="D1092" s="99" t="s">
        <v>91</v>
      </c>
      <c r="E1092" s="79" t="str">
        <f t="shared" si="56"/>
        <v/>
      </c>
      <c r="F1092" s="18"/>
      <c r="G1092" s="18"/>
      <c r="H1092" s="18"/>
      <c r="I1092" s="18"/>
      <c r="J1092" s="18"/>
      <c r="K1092" s="183"/>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Estrategia</v>
      </c>
      <c r="C1093" s="85" t="str" cm="1">
        <f t="array" ref="C1093">IFERROR(INDEX('03.Muestra'!$F$8:$F$42,SMALL(IF("Página Web"='03.Muestra'!$D$8:$D$42,ROW('03.Muestra'!$F$8:$F$42)-MIN(ROW('03.Muestra'!$D$8:$D$42))+1,""),ROW()-1082)),"")</f>
        <v>https://www.comunidad.madrid/transparencia/informacion-institucional/planes-programas/estrategia-seguridad-del-paciente-del-servicio-madrileno</v>
      </c>
      <c r="D1093" s="99" t="s">
        <v>91</v>
      </c>
      <c r="E1093" s="79" t="str">
        <f t="shared" si="56"/>
        <v/>
      </c>
      <c r="F1093" s="18"/>
      <c r="G1093" s="18"/>
      <c r="H1093" s="18"/>
      <c r="I1093" s="18"/>
      <c r="J1093" s="18"/>
      <c r="K1093" s="183"/>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Huella</v>
      </c>
      <c r="C1094" s="85" t="str" cm="1">
        <f t="array" ref="C1094">IFERROR(INDEX('03.Muestra'!$F$8:$F$42,SMALL(IF("Página Web"='03.Muestra'!$D$8:$D$42,ROW('03.Muestra'!$F$8:$F$42)-MIN(ROW('03.Muestra'!$D$8:$D$42))+1,""),ROW()-1082)),"")</f>
        <v>https://www.comunidad.madrid/transparencia/normativa-planificacion/huella-normativa</v>
      </c>
      <c r="D1094" s="99" t="s">
        <v>91</v>
      </c>
      <c r="E1094" s="79" t="str">
        <f t="shared" si="56"/>
        <v/>
      </c>
      <c r="F1094" s="18"/>
      <c r="G1094" s="18"/>
      <c r="H1094" s="18"/>
      <c r="I1094" s="18"/>
      <c r="J1094" s="18"/>
      <c r="K1094" s="183"/>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Decreto</v>
      </c>
      <c r="C1095" s="85" t="str" cm="1">
        <f t="array" ref="C1095">IFERROR(INDEX('03.Muestra'!$F$8:$F$42,SMALL(IF("Página Web"='03.Muestra'!$D$8:$D$42,ROW('03.Muestra'!$F$8:$F$42)-MIN(ROW('03.Muestra'!$D$8:$D$42))+1,""),ROW()-1082)),"")</f>
        <v>https://www.comunidad.madrid/transparencia/decreto-del-consejo-gobierno-que-se-establece-estructura-organica-consejeria-familia-juventud-y</v>
      </c>
      <c r="D1095" s="99" t="s">
        <v>91</v>
      </c>
      <c r="E1095" s="79" t="str">
        <f t="shared" si="56"/>
        <v/>
      </c>
      <c r="F1095" s="18"/>
      <c r="G1095" s="18"/>
      <c r="H1095" s="18"/>
      <c r="I1095" s="18"/>
      <c r="J1095" s="18"/>
      <c r="K1095" s="183"/>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Entidades Locales</v>
      </c>
      <c r="C1096" s="85" t="str" cm="1">
        <f t="array" ref="C1096">IFERROR(INDEX('03.Muestra'!$F$8:$F$42,SMALL(IF("Página Web"='03.Muestra'!$D$8:$D$42,ROW('03.Muestra'!$F$8:$F$42)-MIN(ROW('03.Muestra'!$D$8:$D$42))+1,""),ROW()-1082)),"")</f>
        <v>https://www.comunidad.madrid/transparencia/entidades-locales</v>
      </c>
      <c r="D1096" s="99" t="s">
        <v>91</v>
      </c>
      <c r="E1096" s="79" t="str">
        <f t="shared" si="56"/>
        <v/>
      </c>
      <c r="F1096" s="18"/>
      <c r="G1096" s="18"/>
      <c r="H1096" s="18"/>
      <c r="I1096" s="18"/>
      <c r="J1096" s="18"/>
      <c r="K1096" s="183"/>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ref="D1097:D1117" si="57">IF(AND(B1097&lt;&gt;"",C1097&lt;&gt;""),"N/T","")</f>
        <v/>
      </c>
      <c r="E1097" s="79" t="str">
        <f t="shared" si="56"/>
        <v/>
      </c>
      <c r="F1097" s="18"/>
      <c r="G1097" s="18"/>
      <c r="H1097" s="18"/>
      <c r="I1097" s="18"/>
      <c r="J1097" s="18"/>
      <c r="K1097" s="183"/>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3"/>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3"/>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3"/>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3"/>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3"/>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3"/>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3"/>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3"/>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3"/>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3"/>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3"/>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3"/>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3"/>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3"/>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3"/>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3"/>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3"/>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3"/>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3"/>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3"/>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3"/>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3"/>
      <c r="L1119" s="18"/>
      <c r="M1119" s="18"/>
      <c r="N1119" s="18"/>
      <c r="O1119" s="18"/>
      <c r="P1119" s="18"/>
      <c r="Q1119" s="18"/>
      <c r="R1119" s="18"/>
      <c r="S1119" s="18"/>
      <c r="T1119" s="18"/>
      <c r="U1119" s="18"/>
      <c r="V1119" s="18"/>
      <c r="W1119" s="18"/>
      <c r="X1119" s="18"/>
      <c r="Y1119" s="18"/>
    </row>
    <row r="1120" spans="1:25" ht="29.25" customHeight="1">
      <c r="A1120" s="172" t="s">
        <v>98</v>
      </c>
      <c r="B1120" s="23" t="s">
        <v>90</v>
      </c>
      <c r="C1120" s="24" t="s">
        <v>170</v>
      </c>
      <c r="D1120" s="25" t="s">
        <v>100</v>
      </c>
      <c r="E1120" s="93"/>
      <c r="K1120" s="183"/>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https://www.comunidad.madrid/transparencia/</v>
      </c>
      <c r="D1121" s="99" t="s">
        <v>91</v>
      </c>
      <c r="E1121" s="79" t="str">
        <f t="shared" ref="E1121:E1155" si="58">IF(D1121&lt;&gt;"",IF(AND(B1121&lt;&gt;"",C1121&lt;&gt;""),"","ERR"),"")</f>
        <v/>
      </c>
      <c r="F1121" s="86" t="s">
        <v>101</v>
      </c>
      <c r="G1121" s="87" t="s">
        <v>102</v>
      </c>
      <c r="H1121" s="88" t="s">
        <v>103</v>
      </c>
      <c r="I1121" s="89" t="s">
        <v>93</v>
      </c>
      <c r="J1121" s="90" t="s">
        <v>91</v>
      </c>
      <c r="K1121" s="178" t="s">
        <v>97</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Aviso legal</v>
      </c>
      <c r="C1122" s="85" t="str" cm="1">
        <f t="array" ref="C1122">IFERROR(INDEX('03.Muestra'!$F$8:$F$42,SMALL(IF("Página Web"='03.Muestra'!$D$8:$D$42,ROW('03.Muestra'!$F$8:$F$42)-MIN(ROW('03.Muestra'!$D$8:$D$42))+1,""),ROW()-1120)),"")</f>
        <v>https://www.comunidad.madrid/transparencia/aviso-legal</v>
      </c>
      <c r="D1122" s="99" t="s">
        <v>91</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14</v>
      </c>
      <c r="K1122" s="179">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Accesibilidad</v>
      </c>
      <c r="C1123" s="85" t="str" cm="1">
        <f t="array" ref="C1123">IFERROR(INDEX('03.Muestra'!$F$8:$F$42,SMALL(IF("Página Web"='03.Muestra'!$D$8:$D$42,ROW('03.Muestra'!$F$8:$F$42)-MIN(ROW('03.Muestra'!$D$8:$D$42))+1,""),ROW()-1120)),"")</f>
        <v>https://www.comunidad.madrid/transparencia/declaracion-accesibilidad</v>
      </c>
      <c r="D1123" s="99" t="s">
        <v>91</v>
      </c>
      <c r="E1123" s="79" t="str">
        <f t="shared" si="58"/>
        <v/>
      </c>
      <c r="G1123" s="18"/>
      <c r="H1123" s="18"/>
      <c r="I1123" s="18"/>
      <c r="J1123" s="18"/>
      <c r="K1123" s="183"/>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Tranparencia</v>
      </c>
      <c r="C1124" s="85" t="str" cm="1">
        <f t="array" ref="C1124">IFERROR(INDEX('03.Muestra'!$F$8:$F$42,SMALL(IF("Página Web"='03.Muestra'!$D$8:$D$42,ROW('03.Muestra'!$F$8:$F$42)-MIN(ROW('03.Muestra'!$D$8:$D$42))+1,""),ROW()-1120)),"")</f>
        <v>https://www.comunidad.madrid/transparencia/que-es-transparencia</v>
      </c>
      <c r="D1124" s="99" t="s">
        <v>91</v>
      </c>
      <c r="E1124" s="79" t="str">
        <f t="shared" si="58"/>
        <v/>
      </c>
      <c r="G1124" s="18"/>
      <c r="H1124" s="18"/>
      <c r="I1124" s="18"/>
      <c r="J1124" s="18"/>
      <c r="K1124" s="183"/>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Organización</v>
      </c>
      <c r="C1125" s="85" t="str" cm="1">
        <f t="array" ref="C1125">IFERROR(INDEX('03.Muestra'!$F$8:$F$42,SMALL(IF("Página Web"='03.Muestra'!$D$8:$D$42,ROW('03.Muestra'!$F$8:$F$42)-MIN(ROW('03.Muestra'!$D$8:$D$42))+1,""),ROW()-1120)),"")</f>
        <v>https://www.comunidad.madrid/transparencia/organizacion-recursos/organizacion</v>
      </c>
      <c r="D1125" s="99" t="s">
        <v>91</v>
      </c>
      <c r="E1125" s="79" t="str">
        <f t="shared" si="58"/>
        <v/>
      </c>
      <c r="G1125" s="18"/>
      <c r="H1125" s="18"/>
      <c r="I1125" s="18"/>
      <c r="J1125" s="18"/>
      <c r="K1125" s="183"/>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Quejas</v>
      </c>
      <c r="C1126" s="85" t="str" cm="1">
        <f t="array" ref="C1126">IFERROR(INDEX('03.Muestra'!$F$8:$F$42,SMALL(IF("Página Web"='03.Muestra'!$D$8:$D$42,ROW('03.Muestra'!$F$8:$F$42)-MIN(ROW('03.Muestra'!$D$8:$D$42))+1,""),ROW()-1120)),"")</f>
        <v>https://www.comunidad.madrid/transparencia/quejas-y-reclamaciones</v>
      </c>
      <c r="D1126" s="99" t="s">
        <v>91</v>
      </c>
      <c r="E1126" s="79" t="str">
        <f t="shared" si="58"/>
        <v/>
      </c>
      <c r="G1126" s="18"/>
      <c r="H1126" s="18"/>
      <c r="I1126" s="18"/>
      <c r="J1126" s="18"/>
      <c r="K1126" s="183"/>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Contratos</v>
      </c>
      <c r="C1127" s="85" t="str" cm="1">
        <f t="array" ref="C1127">IFERROR(INDEX('03.Muestra'!$F$8:$F$42,SMALL(IF("Página Web"='03.Muestra'!$D$8:$D$42,ROW('03.Muestra'!$F$8:$F$42)-MIN(ROW('03.Muestra'!$D$8:$D$42))+1,""),ROW()-1120)),"")</f>
        <v>https://www.comunidad.madrid/transparencia/contratos</v>
      </c>
      <c r="D1127" s="99" t="s">
        <v>91</v>
      </c>
      <c r="E1127" s="79" t="str">
        <f t="shared" si="58"/>
        <v/>
      </c>
      <c r="F1127" s="18"/>
      <c r="G1127" s="18"/>
      <c r="H1127" s="18"/>
      <c r="I1127" s="18"/>
      <c r="J1127" s="18"/>
      <c r="K1127" s="183"/>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Consulta</v>
      </c>
      <c r="C1128" s="85" t="str" cm="1">
        <f t="array" ref="C1128">IFERROR(INDEX('03.Muestra'!$F$8:$F$42,SMALL(IF("Página Web"='03.Muestra'!$D$8:$D$42,ROW('03.Muestra'!$F$8:$F$42)-MIN(ROW('03.Muestra'!$D$8:$D$42))+1,""),ROW()-1120)),"")</f>
        <v>https://www.comunidad.madrid/transparencia/normativa-planificacion/consulta-publica</v>
      </c>
      <c r="D1128" s="99" t="s">
        <v>91</v>
      </c>
      <c r="E1128" s="79" t="str">
        <f t="shared" si="58"/>
        <v/>
      </c>
      <c r="F1128" s="18"/>
      <c r="G1128" s="18"/>
      <c r="H1128" s="18"/>
      <c r="I1128" s="18"/>
      <c r="J1128" s="18"/>
      <c r="K1128" s="183"/>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Proyecto</v>
      </c>
      <c r="C1129" s="85" t="str" cm="1">
        <f t="array" ref="C1129">IFERROR(INDEX('03.Muestra'!$F$8:$F$42,SMALL(IF("Página Web"='03.Muestra'!$D$8:$D$42,ROW('03.Muestra'!$F$8:$F$42)-MIN(ROW('03.Muestra'!$D$8:$D$42))+1,""),ROW()-1120)),"")</f>
        <v>https://www.comunidad.madrid/transparencia/proyecto-orden-que-se-crea-comision-farmacia-y-productos-sanitarios-cm-y-se-establece-su-composicion</v>
      </c>
      <c r="D1129" s="99" t="s">
        <v>91</v>
      </c>
      <c r="E1129" s="79" t="str">
        <f t="shared" si="58"/>
        <v/>
      </c>
      <c r="F1129" s="18"/>
      <c r="G1129" s="18"/>
      <c r="H1129" s="18"/>
      <c r="I1129" s="18"/>
      <c r="J1129" s="18"/>
      <c r="K1129" s="183"/>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Planes y Programas</v>
      </c>
      <c r="C1130" s="85" t="str" cm="1">
        <f t="array" ref="C1130">IFERROR(INDEX('03.Muestra'!$F$8:$F$42,SMALL(IF("Página Web"='03.Muestra'!$D$8:$D$42,ROW('03.Muestra'!$F$8:$F$42)-MIN(ROW('03.Muestra'!$D$8:$D$42))+1,""),ROW()-1120)),"")</f>
        <v>https://www.comunidad.madrid/transparencia/normativa-planificacion/planes-programas</v>
      </c>
      <c r="D1130" s="99" t="s">
        <v>91</v>
      </c>
      <c r="E1130" s="79" t="str">
        <f t="shared" si="58"/>
        <v/>
      </c>
      <c r="F1130" s="18"/>
      <c r="G1130" s="18"/>
      <c r="H1130" s="18"/>
      <c r="I1130" s="18"/>
      <c r="J1130" s="18"/>
      <c r="K1130" s="183"/>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Estrategia</v>
      </c>
      <c r="C1131" s="85" t="str" cm="1">
        <f t="array" ref="C1131">IFERROR(INDEX('03.Muestra'!$F$8:$F$42,SMALL(IF("Página Web"='03.Muestra'!$D$8:$D$42,ROW('03.Muestra'!$F$8:$F$42)-MIN(ROW('03.Muestra'!$D$8:$D$42))+1,""),ROW()-1120)),"")</f>
        <v>https://www.comunidad.madrid/transparencia/informacion-institucional/planes-programas/estrategia-seguridad-del-paciente-del-servicio-madrileno</v>
      </c>
      <c r="D1131" s="99" t="s">
        <v>91</v>
      </c>
      <c r="E1131" s="79" t="str">
        <f t="shared" si="58"/>
        <v/>
      </c>
      <c r="F1131" s="18"/>
      <c r="G1131" s="18"/>
      <c r="H1131" s="18"/>
      <c r="I1131" s="18"/>
      <c r="J1131" s="18"/>
      <c r="K1131" s="183"/>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Huella</v>
      </c>
      <c r="C1132" s="85" t="str" cm="1">
        <f t="array" ref="C1132">IFERROR(INDEX('03.Muestra'!$F$8:$F$42,SMALL(IF("Página Web"='03.Muestra'!$D$8:$D$42,ROW('03.Muestra'!$F$8:$F$42)-MIN(ROW('03.Muestra'!$D$8:$D$42))+1,""),ROW()-1120)),"")</f>
        <v>https://www.comunidad.madrid/transparencia/normativa-planificacion/huella-normativa</v>
      </c>
      <c r="D1132" s="99" t="s">
        <v>91</v>
      </c>
      <c r="E1132" s="79" t="str">
        <f t="shared" si="58"/>
        <v/>
      </c>
      <c r="F1132" s="18"/>
      <c r="G1132" s="18"/>
      <c r="H1132" s="18"/>
      <c r="I1132" s="18"/>
      <c r="J1132" s="18"/>
      <c r="K1132" s="183"/>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Decreto</v>
      </c>
      <c r="C1133" s="85" t="str" cm="1">
        <f t="array" ref="C1133">IFERROR(INDEX('03.Muestra'!$F$8:$F$42,SMALL(IF("Página Web"='03.Muestra'!$D$8:$D$42,ROW('03.Muestra'!$F$8:$F$42)-MIN(ROW('03.Muestra'!$D$8:$D$42))+1,""),ROW()-1120)),"")</f>
        <v>https://www.comunidad.madrid/transparencia/decreto-del-consejo-gobierno-que-se-establece-estructura-organica-consejeria-familia-juventud-y</v>
      </c>
      <c r="D1133" s="99" t="s">
        <v>91</v>
      </c>
      <c r="E1133" s="79" t="str">
        <f t="shared" si="58"/>
        <v/>
      </c>
      <c r="F1133" s="18"/>
      <c r="G1133" s="18"/>
      <c r="H1133" s="18"/>
      <c r="I1133" s="18"/>
      <c r="J1133" s="18"/>
      <c r="K1133" s="183"/>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Entidades Locales</v>
      </c>
      <c r="C1134" s="85" t="str" cm="1">
        <f t="array" ref="C1134">IFERROR(INDEX('03.Muestra'!$F$8:$F$42,SMALL(IF("Página Web"='03.Muestra'!$D$8:$D$42,ROW('03.Muestra'!$F$8:$F$42)-MIN(ROW('03.Muestra'!$D$8:$D$42))+1,""),ROW()-1120)),"")</f>
        <v>https://www.comunidad.madrid/transparencia/entidades-locales</v>
      </c>
      <c r="D1134" s="99" t="s">
        <v>91</v>
      </c>
      <c r="E1134" s="79" t="str">
        <f t="shared" si="58"/>
        <v/>
      </c>
      <c r="F1134" s="18"/>
      <c r="G1134" s="18"/>
      <c r="H1134" s="18"/>
      <c r="I1134" s="18"/>
      <c r="J1134" s="18"/>
      <c r="K1134" s="183"/>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ref="D1135:D1155" si="59">IF(AND(B1135&lt;&gt;"",C1135&lt;&gt;""),"N/T","")</f>
        <v/>
      </c>
      <c r="E1135" s="79" t="str">
        <f t="shared" si="58"/>
        <v/>
      </c>
      <c r="F1135" s="18"/>
      <c r="G1135" s="18"/>
      <c r="H1135" s="18"/>
      <c r="I1135" s="18"/>
      <c r="J1135" s="18"/>
      <c r="K1135" s="183"/>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3"/>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3"/>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3"/>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3"/>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3"/>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3"/>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3"/>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3"/>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3"/>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3"/>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3"/>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3"/>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3"/>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3"/>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3"/>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3"/>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3"/>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3"/>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3"/>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3"/>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3"/>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3"/>
      <c r="L1157" s="18"/>
      <c r="M1157" s="18"/>
      <c r="N1157" s="18"/>
      <c r="O1157" s="18"/>
      <c r="P1157" s="18"/>
      <c r="Q1157" s="18"/>
      <c r="R1157" s="18"/>
      <c r="S1157" s="18"/>
      <c r="T1157" s="18"/>
      <c r="U1157" s="18"/>
      <c r="V1157" s="18"/>
      <c r="W1157" s="18"/>
      <c r="X1157" s="18"/>
      <c r="Y1157" s="18"/>
    </row>
    <row r="1158" spans="1:25" ht="29.25" customHeight="1">
      <c r="A1158" s="172" t="s">
        <v>98</v>
      </c>
      <c r="B1158" s="23" t="s">
        <v>90</v>
      </c>
      <c r="C1158" s="24" t="s">
        <v>171</v>
      </c>
      <c r="D1158" s="25" t="s">
        <v>100</v>
      </c>
      <c r="E1158" s="93"/>
      <c r="K1158" s="183"/>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https://www.comunidad.madrid/transparencia/</v>
      </c>
      <c r="D1159" s="99" t="s">
        <v>91</v>
      </c>
      <c r="E1159" s="79" t="str">
        <f t="shared" ref="E1159:E1193" si="60">IF(D1159&lt;&gt;"",IF(AND(B1159&lt;&gt;"",C1159&lt;&gt;""),"","ERR"),"")</f>
        <v/>
      </c>
      <c r="F1159" s="86" t="s">
        <v>101</v>
      </c>
      <c r="G1159" s="87" t="s">
        <v>102</v>
      </c>
      <c r="H1159" s="88" t="s">
        <v>103</v>
      </c>
      <c r="I1159" s="89" t="s">
        <v>93</v>
      </c>
      <c r="J1159" s="90" t="s">
        <v>91</v>
      </c>
      <c r="K1159" s="178" t="s">
        <v>97</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Aviso legal</v>
      </c>
      <c r="C1160" s="85" t="str" cm="1">
        <f t="array" ref="C1160">IFERROR(INDEX('03.Muestra'!$F$8:$F$42,SMALL(IF("Página Web"='03.Muestra'!$D$8:$D$42,ROW('03.Muestra'!$F$8:$F$42)-MIN(ROW('03.Muestra'!$D$8:$D$42))+1,""),ROW()-1158)),"")</f>
        <v>https://www.comunidad.madrid/transparencia/aviso-legal</v>
      </c>
      <c r="D1160" s="99" t="s">
        <v>91</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14</v>
      </c>
      <c r="K1160" s="179">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Accesibilidad</v>
      </c>
      <c r="C1161" s="85" t="str" cm="1">
        <f t="array" ref="C1161">IFERROR(INDEX('03.Muestra'!$F$8:$F$42,SMALL(IF("Página Web"='03.Muestra'!$D$8:$D$42,ROW('03.Muestra'!$F$8:$F$42)-MIN(ROW('03.Muestra'!$D$8:$D$42))+1,""),ROW()-1158)),"")</f>
        <v>https://www.comunidad.madrid/transparencia/declaracion-accesibilidad</v>
      </c>
      <c r="D1161" s="99" t="s">
        <v>91</v>
      </c>
      <c r="E1161" s="79" t="str">
        <f t="shared" si="60"/>
        <v/>
      </c>
      <c r="G1161" s="18"/>
      <c r="H1161" s="18"/>
      <c r="I1161" s="18"/>
      <c r="J1161" s="18"/>
      <c r="K1161" s="183"/>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Tranparencia</v>
      </c>
      <c r="C1162" s="85" t="str" cm="1">
        <f t="array" ref="C1162">IFERROR(INDEX('03.Muestra'!$F$8:$F$42,SMALL(IF("Página Web"='03.Muestra'!$D$8:$D$42,ROW('03.Muestra'!$F$8:$F$42)-MIN(ROW('03.Muestra'!$D$8:$D$42))+1,""),ROW()-1158)),"")</f>
        <v>https://www.comunidad.madrid/transparencia/que-es-transparencia</v>
      </c>
      <c r="D1162" s="99" t="s">
        <v>91</v>
      </c>
      <c r="E1162" s="79" t="str">
        <f t="shared" si="60"/>
        <v/>
      </c>
      <c r="G1162" s="18"/>
      <c r="H1162" s="18"/>
      <c r="I1162" s="18"/>
      <c r="J1162" s="18"/>
      <c r="K1162" s="183"/>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Organización</v>
      </c>
      <c r="C1163" s="85" t="str" cm="1">
        <f t="array" ref="C1163">IFERROR(INDEX('03.Muestra'!$F$8:$F$42,SMALL(IF("Página Web"='03.Muestra'!$D$8:$D$42,ROW('03.Muestra'!$F$8:$F$42)-MIN(ROW('03.Muestra'!$D$8:$D$42))+1,""),ROW()-1158)),"")</f>
        <v>https://www.comunidad.madrid/transparencia/organizacion-recursos/organizacion</v>
      </c>
      <c r="D1163" s="99" t="s">
        <v>91</v>
      </c>
      <c r="E1163" s="79" t="str">
        <f t="shared" si="60"/>
        <v/>
      </c>
      <c r="G1163" s="18"/>
      <c r="H1163" s="18"/>
      <c r="I1163" s="18"/>
      <c r="J1163" s="18"/>
      <c r="K1163" s="183"/>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Quejas</v>
      </c>
      <c r="C1164" s="85" t="str" cm="1">
        <f t="array" ref="C1164">IFERROR(INDEX('03.Muestra'!$F$8:$F$42,SMALL(IF("Página Web"='03.Muestra'!$D$8:$D$42,ROW('03.Muestra'!$F$8:$F$42)-MIN(ROW('03.Muestra'!$D$8:$D$42))+1,""),ROW()-1158)),"")</f>
        <v>https://www.comunidad.madrid/transparencia/quejas-y-reclamaciones</v>
      </c>
      <c r="D1164" s="99" t="s">
        <v>91</v>
      </c>
      <c r="E1164" s="79" t="str">
        <f t="shared" si="60"/>
        <v/>
      </c>
      <c r="G1164" s="18"/>
      <c r="H1164" s="18"/>
      <c r="I1164" s="18"/>
      <c r="J1164" s="18"/>
      <c r="K1164" s="183"/>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Contratos</v>
      </c>
      <c r="C1165" s="85" t="str" cm="1">
        <f t="array" ref="C1165">IFERROR(INDEX('03.Muestra'!$F$8:$F$42,SMALL(IF("Página Web"='03.Muestra'!$D$8:$D$42,ROW('03.Muestra'!$F$8:$F$42)-MIN(ROW('03.Muestra'!$D$8:$D$42))+1,""),ROW()-1158)),"")</f>
        <v>https://www.comunidad.madrid/transparencia/contratos</v>
      </c>
      <c r="D1165" s="99" t="s">
        <v>91</v>
      </c>
      <c r="E1165" s="79" t="str">
        <f t="shared" si="60"/>
        <v/>
      </c>
      <c r="F1165" s="18"/>
      <c r="G1165" s="18"/>
      <c r="H1165" s="18"/>
      <c r="I1165" s="18"/>
      <c r="J1165" s="18"/>
      <c r="K1165" s="183"/>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Consulta</v>
      </c>
      <c r="C1166" s="85" t="str" cm="1">
        <f t="array" ref="C1166">IFERROR(INDEX('03.Muestra'!$F$8:$F$42,SMALL(IF("Página Web"='03.Muestra'!$D$8:$D$42,ROW('03.Muestra'!$F$8:$F$42)-MIN(ROW('03.Muestra'!$D$8:$D$42))+1,""),ROW()-1158)),"")</f>
        <v>https://www.comunidad.madrid/transparencia/normativa-planificacion/consulta-publica</v>
      </c>
      <c r="D1166" s="99" t="s">
        <v>91</v>
      </c>
      <c r="E1166" s="79" t="str">
        <f t="shared" si="60"/>
        <v/>
      </c>
      <c r="F1166" s="18"/>
      <c r="G1166" s="18"/>
      <c r="H1166" s="18"/>
      <c r="I1166" s="18"/>
      <c r="J1166" s="18"/>
      <c r="K1166" s="183"/>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Proyecto</v>
      </c>
      <c r="C1167" s="85" t="str" cm="1">
        <f t="array" ref="C1167">IFERROR(INDEX('03.Muestra'!$F$8:$F$42,SMALL(IF("Página Web"='03.Muestra'!$D$8:$D$42,ROW('03.Muestra'!$F$8:$F$42)-MIN(ROW('03.Muestra'!$D$8:$D$42))+1,""),ROW()-1158)),"")</f>
        <v>https://www.comunidad.madrid/transparencia/proyecto-orden-que-se-crea-comision-farmacia-y-productos-sanitarios-cm-y-se-establece-su-composicion</v>
      </c>
      <c r="D1167" s="99" t="s">
        <v>91</v>
      </c>
      <c r="E1167" s="79" t="str">
        <f t="shared" si="60"/>
        <v/>
      </c>
      <c r="F1167" s="18"/>
      <c r="G1167" s="18"/>
      <c r="H1167" s="18"/>
      <c r="I1167" s="18"/>
      <c r="J1167" s="18"/>
      <c r="K1167" s="183"/>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Planes y Programas</v>
      </c>
      <c r="C1168" s="85" t="str" cm="1">
        <f t="array" ref="C1168">IFERROR(INDEX('03.Muestra'!$F$8:$F$42,SMALL(IF("Página Web"='03.Muestra'!$D$8:$D$42,ROW('03.Muestra'!$F$8:$F$42)-MIN(ROW('03.Muestra'!$D$8:$D$42))+1,""),ROW()-1158)),"")</f>
        <v>https://www.comunidad.madrid/transparencia/normativa-planificacion/planes-programas</v>
      </c>
      <c r="D1168" s="99" t="s">
        <v>91</v>
      </c>
      <c r="E1168" s="79" t="str">
        <f t="shared" si="60"/>
        <v/>
      </c>
      <c r="F1168" s="18"/>
      <c r="G1168" s="18"/>
      <c r="H1168" s="18"/>
      <c r="I1168" s="18"/>
      <c r="J1168" s="18"/>
      <c r="K1168" s="183"/>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Estrategia</v>
      </c>
      <c r="C1169" s="85" t="str" cm="1">
        <f t="array" ref="C1169">IFERROR(INDEX('03.Muestra'!$F$8:$F$42,SMALL(IF("Página Web"='03.Muestra'!$D$8:$D$42,ROW('03.Muestra'!$F$8:$F$42)-MIN(ROW('03.Muestra'!$D$8:$D$42))+1,""),ROW()-1158)),"")</f>
        <v>https://www.comunidad.madrid/transparencia/informacion-institucional/planes-programas/estrategia-seguridad-del-paciente-del-servicio-madrileno</v>
      </c>
      <c r="D1169" s="99" t="s">
        <v>91</v>
      </c>
      <c r="E1169" s="79" t="str">
        <f t="shared" si="60"/>
        <v/>
      </c>
      <c r="F1169" s="18"/>
      <c r="G1169" s="18"/>
      <c r="H1169" s="18"/>
      <c r="I1169" s="18"/>
      <c r="J1169" s="18"/>
      <c r="K1169" s="183"/>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Huella</v>
      </c>
      <c r="C1170" s="85" t="str" cm="1">
        <f t="array" ref="C1170">IFERROR(INDEX('03.Muestra'!$F$8:$F$42,SMALL(IF("Página Web"='03.Muestra'!$D$8:$D$42,ROW('03.Muestra'!$F$8:$F$42)-MIN(ROW('03.Muestra'!$D$8:$D$42))+1,""),ROW()-1158)),"")</f>
        <v>https://www.comunidad.madrid/transparencia/normativa-planificacion/huella-normativa</v>
      </c>
      <c r="D1170" s="99" t="s">
        <v>91</v>
      </c>
      <c r="E1170" s="79" t="str">
        <f t="shared" si="60"/>
        <v/>
      </c>
      <c r="F1170" s="18"/>
      <c r="G1170" s="18"/>
      <c r="H1170" s="18"/>
      <c r="I1170" s="18"/>
      <c r="J1170" s="18"/>
      <c r="K1170" s="183"/>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Decreto</v>
      </c>
      <c r="C1171" s="85" t="str" cm="1">
        <f t="array" ref="C1171">IFERROR(INDEX('03.Muestra'!$F$8:$F$42,SMALL(IF("Página Web"='03.Muestra'!$D$8:$D$42,ROW('03.Muestra'!$F$8:$F$42)-MIN(ROW('03.Muestra'!$D$8:$D$42))+1,""),ROW()-1158)),"")</f>
        <v>https://www.comunidad.madrid/transparencia/decreto-del-consejo-gobierno-que-se-establece-estructura-organica-consejeria-familia-juventud-y</v>
      </c>
      <c r="D1171" s="99" t="s">
        <v>91</v>
      </c>
      <c r="E1171" s="79" t="str">
        <f t="shared" si="60"/>
        <v/>
      </c>
      <c r="F1171" s="18"/>
      <c r="G1171" s="18"/>
      <c r="H1171" s="18"/>
      <c r="I1171" s="18"/>
      <c r="J1171" s="18"/>
      <c r="K1171" s="183"/>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Entidades Locales</v>
      </c>
      <c r="C1172" s="85" t="str" cm="1">
        <f t="array" ref="C1172">IFERROR(INDEX('03.Muestra'!$F$8:$F$42,SMALL(IF("Página Web"='03.Muestra'!$D$8:$D$42,ROW('03.Muestra'!$F$8:$F$42)-MIN(ROW('03.Muestra'!$D$8:$D$42))+1,""),ROW()-1158)),"")</f>
        <v>https://www.comunidad.madrid/transparencia/entidades-locales</v>
      </c>
      <c r="D1172" s="99" t="s">
        <v>91</v>
      </c>
      <c r="E1172" s="79" t="str">
        <f t="shared" si="60"/>
        <v/>
      </c>
      <c r="F1172" s="18"/>
      <c r="G1172" s="18"/>
      <c r="H1172" s="18"/>
      <c r="I1172" s="18"/>
      <c r="J1172" s="18"/>
      <c r="K1172" s="183"/>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ref="D1173:D1193" si="61">IF(AND(B1173&lt;&gt;"",C1173&lt;&gt;""),"N/T","")</f>
        <v/>
      </c>
      <c r="E1173" s="79" t="str">
        <f t="shared" si="60"/>
        <v/>
      </c>
      <c r="F1173" s="18"/>
      <c r="G1173" s="18"/>
      <c r="H1173" s="18"/>
      <c r="I1173" s="18"/>
      <c r="J1173" s="18"/>
      <c r="K1173" s="183"/>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3"/>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3"/>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3"/>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3"/>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3"/>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3"/>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3"/>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3"/>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3"/>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3"/>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3"/>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3"/>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3"/>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3"/>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3"/>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3"/>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3"/>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3"/>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3"/>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3"/>
      <c r="L1193" s="18"/>
    </row>
    <row r="1194" spans="1:25" ht="12" customHeight="1">
      <c r="B1194" s="18"/>
      <c r="C1194" s="18"/>
      <c r="D1194" s="79"/>
      <c r="E1194" s="18"/>
      <c r="F1194" s="18"/>
      <c r="G1194" s="18"/>
      <c r="H1194" s="18"/>
      <c r="I1194" s="18"/>
      <c r="J1194" s="18"/>
      <c r="K1194" s="183"/>
      <c r="L1194" s="18"/>
    </row>
    <row r="1195" spans="1:25" ht="12" customHeight="1">
      <c r="B1195" s="96"/>
      <c r="C1195" s="18"/>
      <c r="D1195" s="79"/>
      <c r="E1195" s="83"/>
      <c r="F1195" s="18"/>
      <c r="G1195" s="18"/>
      <c r="H1195" s="18"/>
      <c r="I1195" s="18"/>
      <c r="J1195" s="18"/>
      <c r="K1195" s="183"/>
      <c r="L1195" s="18"/>
    </row>
    <row r="1196" spans="1:25" ht="29.25" customHeight="1">
      <c r="A1196" s="172" t="s">
        <v>98</v>
      </c>
      <c r="B1196" s="23" t="s">
        <v>90</v>
      </c>
      <c r="C1196" s="24" t="s">
        <v>172</v>
      </c>
      <c r="D1196" s="25" t="s">
        <v>100</v>
      </c>
      <c r="E1196" s="93"/>
      <c r="K1196" s="183"/>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https://www.comunidad.madrid/transparencia/</v>
      </c>
      <c r="D1197" s="214" t="s">
        <v>91</v>
      </c>
      <c r="E1197" s="79" t="str">
        <f t="shared" ref="E1197:E1231" si="62">IF(D1197&lt;&gt;"",IF(AND(B1197&lt;&gt;"",C1197&lt;&gt;""),"","ERR"),"")</f>
        <v/>
      </c>
      <c r="F1197" s="86" t="s">
        <v>101</v>
      </c>
      <c r="G1197" s="87" t="s">
        <v>102</v>
      </c>
      <c r="H1197" s="88" t="s">
        <v>103</v>
      </c>
      <c r="I1197" s="89" t="s">
        <v>93</v>
      </c>
      <c r="J1197" s="90" t="s">
        <v>91</v>
      </c>
      <c r="K1197" s="178" t="s">
        <v>97</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Aviso legal</v>
      </c>
      <c r="C1198" s="85" t="str" cm="1">
        <f t="array" ref="C1198">IFERROR(INDEX('03.Muestra'!$F$8:$F$42,SMALL(IF("Página Web"='03.Muestra'!$D$8:$D$42,ROW('03.Muestra'!$F$8:$F$42)-MIN(ROW('03.Muestra'!$D$8:$D$42))+1,""),ROW()-1196)),"")</f>
        <v>https://www.comunidad.madrid/transparencia/aviso-legal</v>
      </c>
      <c r="D1198" s="214" t="s">
        <v>91</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14</v>
      </c>
      <c r="K1198" s="179">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Accesibilidad</v>
      </c>
      <c r="C1199" s="85" t="str" cm="1">
        <f t="array" ref="C1199">IFERROR(INDEX('03.Muestra'!$F$8:$F$42,SMALL(IF("Página Web"='03.Muestra'!$D$8:$D$42,ROW('03.Muestra'!$F$8:$F$42)-MIN(ROW('03.Muestra'!$D$8:$D$42))+1,""),ROW()-1196)),"")</f>
        <v>https://www.comunidad.madrid/transparencia/declaracion-accesibilidad</v>
      </c>
      <c r="D1199" s="214" t="s">
        <v>91</v>
      </c>
      <c r="E1199" s="79" t="str">
        <f t="shared" si="62"/>
        <v/>
      </c>
      <c r="G1199" s="18"/>
      <c r="H1199" s="18"/>
      <c r="I1199" s="18"/>
      <c r="J1199" s="18"/>
      <c r="K1199" s="183"/>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Tranparencia</v>
      </c>
      <c r="C1200" s="85" t="str" cm="1">
        <f t="array" ref="C1200">IFERROR(INDEX('03.Muestra'!$F$8:$F$42,SMALL(IF("Página Web"='03.Muestra'!$D$8:$D$42,ROW('03.Muestra'!$F$8:$F$42)-MIN(ROW('03.Muestra'!$D$8:$D$42))+1,""),ROW()-1196)),"")</f>
        <v>https://www.comunidad.madrid/transparencia/que-es-transparencia</v>
      </c>
      <c r="D1200" s="214" t="s">
        <v>91</v>
      </c>
      <c r="E1200" s="79" t="str">
        <f t="shared" si="62"/>
        <v/>
      </c>
      <c r="G1200" s="18"/>
      <c r="H1200" s="18"/>
      <c r="I1200" s="18"/>
      <c r="J1200" s="18"/>
      <c r="K1200" s="183"/>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Organización</v>
      </c>
      <c r="C1201" s="85" t="str" cm="1">
        <f t="array" ref="C1201">IFERROR(INDEX('03.Muestra'!$F$8:$F$42,SMALL(IF("Página Web"='03.Muestra'!$D$8:$D$42,ROW('03.Muestra'!$F$8:$F$42)-MIN(ROW('03.Muestra'!$D$8:$D$42))+1,""),ROW()-1196)),"")</f>
        <v>https://www.comunidad.madrid/transparencia/organizacion-recursos/organizacion</v>
      </c>
      <c r="D1201" s="214" t="s">
        <v>91</v>
      </c>
      <c r="E1201" s="79" t="str">
        <f t="shared" si="62"/>
        <v/>
      </c>
      <c r="G1201" s="18"/>
      <c r="H1201" s="18"/>
      <c r="I1201" s="18"/>
      <c r="J1201" s="18"/>
      <c r="K1201" s="183"/>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Quejas</v>
      </c>
      <c r="C1202" s="85" t="str" cm="1">
        <f t="array" ref="C1202">IFERROR(INDEX('03.Muestra'!$F$8:$F$42,SMALL(IF("Página Web"='03.Muestra'!$D$8:$D$42,ROW('03.Muestra'!$F$8:$F$42)-MIN(ROW('03.Muestra'!$D$8:$D$42))+1,""),ROW()-1196)),"")</f>
        <v>https://www.comunidad.madrid/transparencia/quejas-y-reclamaciones</v>
      </c>
      <c r="D1202" s="214" t="s">
        <v>91</v>
      </c>
      <c r="E1202" s="79" t="str">
        <f t="shared" si="62"/>
        <v/>
      </c>
      <c r="G1202" s="18"/>
      <c r="H1202" s="18"/>
      <c r="I1202" s="18"/>
      <c r="J1202" s="18"/>
      <c r="K1202" s="183"/>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Contratos</v>
      </c>
      <c r="C1203" s="85" t="str" cm="1">
        <f t="array" ref="C1203">IFERROR(INDEX('03.Muestra'!$F$8:$F$42,SMALL(IF("Página Web"='03.Muestra'!$D$8:$D$42,ROW('03.Muestra'!$F$8:$F$42)-MIN(ROW('03.Muestra'!$D$8:$D$42))+1,""),ROW()-1196)),"")</f>
        <v>https://www.comunidad.madrid/transparencia/contratos</v>
      </c>
      <c r="D1203" s="214" t="s">
        <v>91</v>
      </c>
      <c r="E1203" s="79" t="str">
        <f t="shared" si="62"/>
        <v/>
      </c>
      <c r="F1203" s="18"/>
      <c r="G1203" s="18"/>
      <c r="H1203" s="18"/>
      <c r="I1203" s="18"/>
      <c r="J1203" s="18"/>
      <c r="K1203" s="183"/>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Consulta</v>
      </c>
      <c r="C1204" s="85" t="str" cm="1">
        <f t="array" ref="C1204">IFERROR(INDEX('03.Muestra'!$F$8:$F$42,SMALL(IF("Página Web"='03.Muestra'!$D$8:$D$42,ROW('03.Muestra'!$F$8:$F$42)-MIN(ROW('03.Muestra'!$D$8:$D$42))+1,""),ROW()-1196)),"")</f>
        <v>https://www.comunidad.madrid/transparencia/normativa-planificacion/consulta-publica</v>
      </c>
      <c r="D1204" s="214" t="s">
        <v>91</v>
      </c>
      <c r="E1204" s="79" t="str">
        <f t="shared" si="62"/>
        <v/>
      </c>
      <c r="F1204" s="18"/>
      <c r="G1204" s="18"/>
      <c r="H1204" s="18"/>
      <c r="I1204" s="18"/>
      <c r="J1204" s="18"/>
      <c r="K1204" s="183"/>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Proyecto</v>
      </c>
      <c r="C1205" s="85" t="str" cm="1">
        <f t="array" ref="C1205">IFERROR(INDEX('03.Muestra'!$F$8:$F$42,SMALL(IF("Página Web"='03.Muestra'!$D$8:$D$42,ROW('03.Muestra'!$F$8:$F$42)-MIN(ROW('03.Muestra'!$D$8:$D$42))+1,""),ROW()-1196)),"")</f>
        <v>https://www.comunidad.madrid/transparencia/proyecto-orden-que-se-crea-comision-farmacia-y-productos-sanitarios-cm-y-se-establece-su-composicion</v>
      </c>
      <c r="D1205" s="214" t="s">
        <v>91</v>
      </c>
      <c r="E1205" s="79" t="str">
        <f t="shared" si="62"/>
        <v/>
      </c>
      <c r="F1205" s="18"/>
      <c r="G1205" s="18"/>
      <c r="H1205" s="18"/>
      <c r="I1205" s="18"/>
      <c r="J1205" s="18"/>
      <c r="K1205" s="183"/>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Planes y Programas</v>
      </c>
      <c r="C1206" s="85" t="str" cm="1">
        <f t="array" ref="C1206">IFERROR(INDEX('03.Muestra'!$F$8:$F$42,SMALL(IF("Página Web"='03.Muestra'!$D$8:$D$42,ROW('03.Muestra'!$F$8:$F$42)-MIN(ROW('03.Muestra'!$D$8:$D$42))+1,""),ROW()-1196)),"")</f>
        <v>https://www.comunidad.madrid/transparencia/normativa-planificacion/planes-programas</v>
      </c>
      <c r="D1206" s="214" t="s">
        <v>91</v>
      </c>
      <c r="E1206" s="79" t="str">
        <f t="shared" si="62"/>
        <v/>
      </c>
      <c r="F1206" s="18"/>
      <c r="G1206" s="18"/>
      <c r="H1206" s="18"/>
      <c r="I1206" s="18"/>
      <c r="J1206" s="18"/>
      <c r="K1206" s="183"/>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Estrategia</v>
      </c>
      <c r="C1207" s="85" t="str" cm="1">
        <f t="array" ref="C1207">IFERROR(INDEX('03.Muestra'!$F$8:$F$42,SMALL(IF("Página Web"='03.Muestra'!$D$8:$D$42,ROW('03.Muestra'!$F$8:$F$42)-MIN(ROW('03.Muestra'!$D$8:$D$42))+1,""),ROW()-1196)),"")</f>
        <v>https://www.comunidad.madrid/transparencia/informacion-institucional/planes-programas/estrategia-seguridad-del-paciente-del-servicio-madrileno</v>
      </c>
      <c r="D1207" s="214" t="s">
        <v>91</v>
      </c>
      <c r="E1207" s="79" t="str">
        <f t="shared" si="62"/>
        <v/>
      </c>
      <c r="F1207" s="18"/>
      <c r="G1207" s="18"/>
      <c r="H1207" s="18"/>
      <c r="I1207" s="18"/>
      <c r="J1207" s="18"/>
      <c r="K1207" s="183"/>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Huella</v>
      </c>
      <c r="C1208" s="85" t="str" cm="1">
        <f t="array" ref="C1208">IFERROR(INDEX('03.Muestra'!$F$8:$F$42,SMALL(IF("Página Web"='03.Muestra'!$D$8:$D$42,ROW('03.Muestra'!$F$8:$F$42)-MIN(ROW('03.Muestra'!$D$8:$D$42))+1,""),ROW()-1196)),"")</f>
        <v>https://www.comunidad.madrid/transparencia/normativa-planificacion/huella-normativa</v>
      </c>
      <c r="D1208" s="214" t="s">
        <v>91</v>
      </c>
      <c r="E1208" s="79" t="str">
        <f t="shared" si="62"/>
        <v/>
      </c>
      <c r="F1208" s="18"/>
      <c r="G1208" s="18"/>
      <c r="H1208" s="18"/>
      <c r="I1208" s="18"/>
      <c r="J1208" s="18"/>
      <c r="K1208" s="183"/>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Decreto</v>
      </c>
      <c r="C1209" s="85" t="str" cm="1">
        <f t="array" ref="C1209">IFERROR(INDEX('03.Muestra'!$F$8:$F$42,SMALL(IF("Página Web"='03.Muestra'!$D$8:$D$42,ROW('03.Muestra'!$F$8:$F$42)-MIN(ROW('03.Muestra'!$D$8:$D$42))+1,""),ROW()-1196)),"")</f>
        <v>https://www.comunidad.madrid/transparencia/decreto-del-consejo-gobierno-que-se-establece-estructura-organica-consejeria-familia-juventud-y</v>
      </c>
      <c r="D1209" s="214" t="s">
        <v>91</v>
      </c>
      <c r="E1209" s="79" t="str">
        <f t="shared" si="62"/>
        <v/>
      </c>
      <c r="F1209" s="18"/>
      <c r="G1209" s="18"/>
      <c r="H1209" s="18"/>
      <c r="I1209" s="18"/>
      <c r="J1209" s="18"/>
      <c r="K1209" s="183"/>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Entidades Locales</v>
      </c>
      <c r="C1210" s="85" t="str" cm="1">
        <f t="array" ref="C1210">IFERROR(INDEX('03.Muestra'!$F$8:$F$42,SMALL(IF("Página Web"='03.Muestra'!$D$8:$D$42,ROW('03.Muestra'!$F$8:$F$42)-MIN(ROW('03.Muestra'!$D$8:$D$42))+1,""),ROW()-1196)),"")</f>
        <v>https://www.comunidad.madrid/transparencia/entidades-locales</v>
      </c>
      <c r="D1210" s="214" t="s">
        <v>91</v>
      </c>
      <c r="E1210" s="79" t="str">
        <f t="shared" si="62"/>
        <v/>
      </c>
      <c r="F1210" s="18"/>
      <c r="G1210" s="18"/>
      <c r="H1210" s="18"/>
      <c r="I1210" s="18"/>
      <c r="J1210" s="18"/>
      <c r="K1210" s="183"/>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ref="D1211:D1231" si="63">IF(AND(B1211&lt;&gt;"",C1211&lt;&gt;""),"N/T","")</f>
        <v/>
      </c>
      <c r="E1211" s="79" t="str">
        <f t="shared" si="62"/>
        <v/>
      </c>
      <c r="F1211" s="18"/>
      <c r="G1211" s="18"/>
      <c r="H1211" s="18"/>
      <c r="I1211" s="18"/>
      <c r="J1211" s="18"/>
      <c r="K1211" s="183"/>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3"/>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3"/>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3"/>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3"/>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3"/>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3"/>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3"/>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3"/>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3"/>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3"/>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3"/>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3"/>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3"/>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3"/>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3"/>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3"/>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3"/>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3"/>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3"/>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3"/>
      <c r="L1231" s="18"/>
    </row>
    <row r="1232" spans="1:12" ht="12" customHeight="1">
      <c r="B1232" s="18"/>
      <c r="C1232" s="18"/>
      <c r="D1232" s="79"/>
      <c r="E1232" s="83"/>
      <c r="F1232" s="18"/>
      <c r="G1232" s="18"/>
      <c r="H1232" s="18"/>
      <c r="I1232" s="18"/>
      <c r="J1232" s="18"/>
      <c r="K1232" s="183"/>
      <c r="L1232" s="18"/>
    </row>
    <row r="1233" spans="1:12" ht="12" customHeight="1">
      <c r="B1233" s="96"/>
      <c r="C1233" s="18"/>
      <c r="D1233" s="79"/>
      <c r="E1233" s="83"/>
      <c r="F1233" s="18"/>
      <c r="G1233" s="18"/>
      <c r="H1233" s="18"/>
      <c r="I1233" s="18"/>
      <c r="J1233" s="18"/>
      <c r="K1233" s="183"/>
      <c r="L1233" s="18"/>
    </row>
    <row r="1234" spans="1:12" ht="29.25" customHeight="1">
      <c r="A1234" s="172" t="s">
        <v>98</v>
      </c>
      <c r="B1234" s="23" t="s">
        <v>90</v>
      </c>
      <c r="C1234" s="24" t="s">
        <v>173</v>
      </c>
      <c r="D1234" s="25" t="s">
        <v>100</v>
      </c>
      <c r="E1234" s="93"/>
      <c r="K1234" s="183"/>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https://www.comunidad.madrid/transparencia/</v>
      </c>
      <c r="D1235" s="99" t="s">
        <v>103</v>
      </c>
      <c r="E1235" s="79" t="str">
        <f t="shared" ref="E1235:E1269" si="64">IF(D1235&lt;&gt;"",IF(AND(B1235&lt;&gt;"",C1235&lt;&gt;""),"","ERR"),"")</f>
        <v/>
      </c>
      <c r="F1235" s="86" t="s">
        <v>101</v>
      </c>
      <c r="G1235" s="87" t="s">
        <v>102</v>
      </c>
      <c r="H1235" s="88" t="s">
        <v>103</v>
      </c>
      <c r="I1235" s="89" t="s">
        <v>93</v>
      </c>
      <c r="J1235" s="90" t="s">
        <v>91</v>
      </c>
      <c r="K1235" s="178" t="s">
        <v>97</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Aviso legal</v>
      </c>
      <c r="C1236" s="85" t="str" cm="1">
        <f t="array" ref="C1236">IFERROR(INDEX('03.Muestra'!$F$8:$F$42,SMALL(IF("Página Web"='03.Muestra'!$D$8:$D$42,ROW('03.Muestra'!$F$8:$F$42)-MIN(ROW('03.Muestra'!$D$8:$D$42))+1,""),ROW()-1234)),"")</f>
        <v>https://www.comunidad.madrid/transparencia/aviso-legal</v>
      </c>
      <c r="D1236" s="99" t="s">
        <v>103</v>
      </c>
      <c r="E1236" s="79" t="str">
        <f t="shared" si="64"/>
        <v/>
      </c>
      <c r="F1236" s="91">
        <f ca="1">COUNTIF($D1235:INDIRECT("$D" &amp;  SUM(ROW()-1,'03.Muestra'!$D$45)-1),F1235)</f>
        <v>0</v>
      </c>
      <c r="G1236" s="91">
        <f ca="1">COUNTIF($D1235:INDIRECT("$D" &amp;  SUM(ROW()-1,'03.Muestra'!$D$45)-1),G1235)</f>
        <v>0</v>
      </c>
      <c r="H1236" s="91">
        <f ca="1">COUNTIF($D1235:INDIRECT("$D" &amp;  SUM(ROW()-1,'03.Muestra'!$D$45)-1),H1235)</f>
        <v>14</v>
      </c>
      <c r="I1236" s="91">
        <f ca="1">COUNTIF($D1235:INDIRECT("$D" &amp;  SUM(ROW()-1,'03.Muestra'!$D$45)-1),I1235)</f>
        <v>0</v>
      </c>
      <c r="J1236" s="91">
        <f ca="1">COUNTIF($D1235:INDIRECT("$D" &amp;  SUM(ROW()-1,'03.Muestra'!$D$45)-1),J1235)</f>
        <v>0</v>
      </c>
      <c r="K1236" s="179">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Accesibilidad</v>
      </c>
      <c r="C1237" s="85" t="str" cm="1">
        <f t="array" ref="C1237">IFERROR(INDEX('03.Muestra'!$F$8:$F$42,SMALL(IF("Página Web"='03.Muestra'!$D$8:$D$42,ROW('03.Muestra'!$F$8:$F$42)-MIN(ROW('03.Muestra'!$D$8:$D$42))+1,""),ROW()-1234)),"")</f>
        <v>https://www.comunidad.madrid/transparencia/declaracion-accesibilidad</v>
      </c>
      <c r="D1237" s="99" t="s">
        <v>103</v>
      </c>
      <c r="E1237" s="79" t="str">
        <f t="shared" si="64"/>
        <v/>
      </c>
      <c r="G1237" s="18"/>
      <c r="H1237" s="18"/>
      <c r="I1237" s="18"/>
      <c r="J1237" s="18"/>
      <c r="K1237" s="183"/>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Tranparencia</v>
      </c>
      <c r="C1238" s="85" t="str" cm="1">
        <f t="array" ref="C1238">IFERROR(INDEX('03.Muestra'!$F$8:$F$42,SMALL(IF("Página Web"='03.Muestra'!$D$8:$D$42,ROW('03.Muestra'!$F$8:$F$42)-MIN(ROW('03.Muestra'!$D$8:$D$42))+1,""),ROW()-1234)),"")</f>
        <v>https://www.comunidad.madrid/transparencia/que-es-transparencia</v>
      </c>
      <c r="D1238" s="99" t="s">
        <v>103</v>
      </c>
      <c r="E1238" s="79" t="str">
        <f t="shared" si="64"/>
        <v/>
      </c>
      <c r="G1238" s="18"/>
      <c r="H1238" s="18"/>
      <c r="I1238" s="18"/>
      <c r="J1238" s="18"/>
      <c r="K1238" s="183"/>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Organización</v>
      </c>
      <c r="C1239" s="85" t="str" cm="1">
        <f t="array" ref="C1239">IFERROR(INDEX('03.Muestra'!$F$8:$F$42,SMALL(IF("Página Web"='03.Muestra'!$D$8:$D$42,ROW('03.Muestra'!$F$8:$F$42)-MIN(ROW('03.Muestra'!$D$8:$D$42))+1,""),ROW()-1234)),"")</f>
        <v>https://www.comunidad.madrid/transparencia/organizacion-recursos/organizacion</v>
      </c>
      <c r="D1239" s="99" t="s">
        <v>103</v>
      </c>
      <c r="E1239" s="79" t="str">
        <f t="shared" si="64"/>
        <v/>
      </c>
      <c r="G1239" s="18"/>
      <c r="H1239" s="18"/>
      <c r="I1239" s="18"/>
      <c r="J1239" s="18"/>
      <c r="K1239" s="183"/>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Quejas</v>
      </c>
      <c r="C1240" s="85" t="str" cm="1">
        <f t="array" ref="C1240">IFERROR(INDEX('03.Muestra'!$F$8:$F$42,SMALL(IF("Página Web"='03.Muestra'!$D$8:$D$42,ROW('03.Muestra'!$F$8:$F$42)-MIN(ROW('03.Muestra'!$D$8:$D$42))+1,""),ROW()-1234)),"")</f>
        <v>https://www.comunidad.madrid/transparencia/quejas-y-reclamaciones</v>
      </c>
      <c r="D1240" s="99" t="s">
        <v>103</v>
      </c>
      <c r="E1240" s="79" t="str">
        <f t="shared" si="64"/>
        <v/>
      </c>
      <c r="G1240" s="18"/>
      <c r="H1240" s="18"/>
      <c r="I1240" s="18"/>
      <c r="J1240" s="18"/>
      <c r="K1240" s="183"/>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Contratos</v>
      </c>
      <c r="C1241" s="85" t="str" cm="1">
        <f t="array" ref="C1241">IFERROR(INDEX('03.Muestra'!$F$8:$F$42,SMALL(IF("Página Web"='03.Muestra'!$D$8:$D$42,ROW('03.Muestra'!$F$8:$F$42)-MIN(ROW('03.Muestra'!$D$8:$D$42))+1,""),ROW()-1234)),"")</f>
        <v>https://www.comunidad.madrid/transparencia/contratos</v>
      </c>
      <c r="D1241" s="99" t="s">
        <v>103</v>
      </c>
      <c r="E1241" s="79" t="str">
        <f t="shared" si="64"/>
        <v/>
      </c>
      <c r="F1241" s="18"/>
      <c r="G1241" s="18"/>
      <c r="H1241" s="18"/>
      <c r="I1241" s="18"/>
      <c r="J1241" s="18"/>
      <c r="K1241" s="183"/>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Consulta</v>
      </c>
      <c r="C1242" s="85" t="str" cm="1">
        <f t="array" ref="C1242">IFERROR(INDEX('03.Muestra'!$F$8:$F$42,SMALL(IF("Página Web"='03.Muestra'!$D$8:$D$42,ROW('03.Muestra'!$F$8:$F$42)-MIN(ROW('03.Muestra'!$D$8:$D$42))+1,""),ROW()-1234)),"")</f>
        <v>https://www.comunidad.madrid/transparencia/normativa-planificacion/consulta-publica</v>
      </c>
      <c r="D1242" s="99" t="s">
        <v>103</v>
      </c>
      <c r="E1242" s="79" t="str">
        <f t="shared" si="64"/>
        <v/>
      </c>
      <c r="F1242" s="18"/>
      <c r="G1242" s="18"/>
      <c r="H1242" s="18"/>
      <c r="I1242" s="18"/>
      <c r="J1242" s="18"/>
      <c r="K1242" s="183"/>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Proyecto</v>
      </c>
      <c r="C1243" s="85" t="str" cm="1">
        <f t="array" ref="C1243">IFERROR(INDEX('03.Muestra'!$F$8:$F$42,SMALL(IF("Página Web"='03.Muestra'!$D$8:$D$42,ROW('03.Muestra'!$F$8:$F$42)-MIN(ROW('03.Muestra'!$D$8:$D$42))+1,""),ROW()-1234)),"")</f>
        <v>https://www.comunidad.madrid/transparencia/proyecto-orden-que-se-crea-comision-farmacia-y-productos-sanitarios-cm-y-se-establece-su-composicion</v>
      </c>
      <c r="D1243" s="99" t="s">
        <v>103</v>
      </c>
      <c r="E1243" s="79" t="str">
        <f t="shared" si="64"/>
        <v/>
      </c>
      <c r="F1243" s="18"/>
      <c r="G1243" s="18"/>
      <c r="H1243" s="18"/>
      <c r="I1243" s="18"/>
      <c r="J1243" s="18"/>
      <c r="K1243" s="183"/>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Planes y Programas</v>
      </c>
      <c r="C1244" s="85" t="str" cm="1">
        <f t="array" ref="C1244">IFERROR(INDEX('03.Muestra'!$F$8:$F$42,SMALL(IF("Página Web"='03.Muestra'!$D$8:$D$42,ROW('03.Muestra'!$F$8:$F$42)-MIN(ROW('03.Muestra'!$D$8:$D$42))+1,""),ROW()-1234)),"")</f>
        <v>https://www.comunidad.madrid/transparencia/normativa-planificacion/planes-programas</v>
      </c>
      <c r="D1244" s="99" t="s">
        <v>103</v>
      </c>
      <c r="E1244" s="79" t="str">
        <f t="shared" si="64"/>
        <v/>
      </c>
      <c r="F1244" s="18"/>
      <c r="G1244" s="18"/>
      <c r="H1244" s="18"/>
      <c r="I1244" s="18"/>
      <c r="J1244" s="18"/>
      <c r="K1244" s="183"/>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Estrategia</v>
      </c>
      <c r="C1245" s="85" t="str" cm="1">
        <f t="array" ref="C1245">IFERROR(INDEX('03.Muestra'!$F$8:$F$42,SMALL(IF("Página Web"='03.Muestra'!$D$8:$D$42,ROW('03.Muestra'!$F$8:$F$42)-MIN(ROW('03.Muestra'!$D$8:$D$42))+1,""),ROW()-1234)),"")</f>
        <v>https://www.comunidad.madrid/transparencia/informacion-institucional/planes-programas/estrategia-seguridad-del-paciente-del-servicio-madrileno</v>
      </c>
      <c r="D1245" s="99" t="s">
        <v>103</v>
      </c>
      <c r="E1245" s="79" t="str">
        <f t="shared" si="64"/>
        <v/>
      </c>
      <c r="F1245" s="18"/>
      <c r="G1245" s="18"/>
      <c r="H1245" s="18"/>
      <c r="I1245" s="18"/>
      <c r="J1245" s="18"/>
      <c r="K1245" s="183"/>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Huella</v>
      </c>
      <c r="C1246" s="85" t="str" cm="1">
        <f t="array" ref="C1246">IFERROR(INDEX('03.Muestra'!$F$8:$F$42,SMALL(IF("Página Web"='03.Muestra'!$D$8:$D$42,ROW('03.Muestra'!$F$8:$F$42)-MIN(ROW('03.Muestra'!$D$8:$D$42))+1,""),ROW()-1234)),"")</f>
        <v>https://www.comunidad.madrid/transparencia/normativa-planificacion/huella-normativa</v>
      </c>
      <c r="D1246" s="99" t="s">
        <v>103</v>
      </c>
      <c r="E1246" s="79" t="str">
        <f t="shared" si="64"/>
        <v/>
      </c>
      <c r="F1246" s="18"/>
      <c r="G1246" s="18"/>
      <c r="H1246" s="18"/>
      <c r="I1246" s="18"/>
      <c r="J1246" s="18"/>
      <c r="K1246" s="183"/>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Decreto</v>
      </c>
      <c r="C1247" s="85" t="str" cm="1">
        <f t="array" ref="C1247">IFERROR(INDEX('03.Muestra'!$F$8:$F$42,SMALL(IF("Página Web"='03.Muestra'!$D$8:$D$42,ROW('03.Muestra'!$F$8:$F$42)-MIN(ROW('03.Muestra'!$D$8:$D$42))+1,""),ROW()-1234)),"")</f>
        <v>https://www.comunidad.madrid/transparencia/decreto-del-consejo-gobierno-que-se-establece-estructura-organica-consejeria-familia-juventud-y</v>
      </c>
      <c r="D1247" s="99" t="s">
        <v>103</v>
      </c>
      <c r="E1247" s="79" t="str">
        <f t="shared" si="64"/>
        <v/>
      </c>
      <c r="F1247" s="18"/>
      <c r="G1247" s="18"/>
      <c r="H1247" s="18"/>
      <c r="I1247" s="18"/>
      <c r="J1247" s="18"/>
      <c r="K1247" s="183"/>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Entidades Locales</v>
      </c>
      <c r="C1248" s="85" t="str" cm="1">
        <f t="array" ref="C1248">IFERROR(INDEX('03.Muestra'!$F$8:$F$42,SMALL(IF("Página Web"='03.Muestra'!$D$8:$D$42,ROW('03.Muestra'!$F$8:$F$42)-MIN(ROW('03.Muestra'!$D$8:$D$42))+1,""),ROW()-1234)),"")</f>
        <v>https://www.comunidad.madrid/transparencia/entidades-locales</v>
      </c>
      <c r="D1248" s="99" t="s">
        <v>103</v>
      </c>
      <c r="E1248" s="79" t="str">
        <f t="shared" si="64"/>
        <v/>
      </c>
      <c r="F1248" s="18"/>
      <c r="G1248" s="18"/>
      <c r="H1248" s="18"/>
      <c r="I1248" s="18"/>
      <c r="J1248" s="18"/>
      <c r="K1248" s="183"/>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ref="D1249:D1269" si="65">IF(AND(B1249&lt;&gt;"",C1249&lt;&gt;""),"N/T","")</f>
        <v/>
      </c>
      <c r="E1249" s="79" t="str">
        <f t="shared" si="64"/>
        <v/>
      </c>
      <c r="F1249" s="18"/>
      <c r="G1249" s="18"/>
      <c r="H1249" s="18"/>
      <c r="I1249" s="18"/>
      <c r="J1249" s="18"/>
      <c r="K1249" s="183"/>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3"/>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3"/>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3"/>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3"/>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3"/>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3"/>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3"/>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3"/>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3"/>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3"/>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3"/>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3"/>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3"/>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3"/>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3"/>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3"/>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3"/>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3"/>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3"/>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3"/>
      <c r="L1269" s="18"/>
    </row>
    <row r="1270" spans="1:12" ht="12" customHeight="1">
      <c r="B1270" s="18"/>
      <c r="C1270" s="18"/>
      <c r="D1270" s="79"/>
      <c r="E1270" s="18"/>
      <c r="F1270" s="18"/>
      <c r="G1270" s="18"/>
      <c r="H1270" s="18"/>
      <c r="I1270" s="18"/>
      <c r="J1270" s="18"/>
      <c r="K1270" s="183"/>
      <c r="L1270" s="18"/>
    </row>
    <row r="1271" spans="1:12" ht="12" customHeight="1">
      <c r="B1271" s="96"/>
      <c r="C1271" s="18"/>
      <c r="D1271" s="79"/>
      <c r="E1271" s="83"/>
      <c r="F1271" s="18"/>
      <c r="G1271" s="18"/>
      <c r="H1271" s="18"/>
      <c r="I1271" s="18"/>
      <c r="J1271" s="18"/>
      <c r="K1271" s="183"/>
      <c r="L1271" s="18"/>
    </row>
    <row r="1272" spans="1:12" ht="29.25" customHeight="1">
      <c r="A1272" s="172" t="s">
        <v>98</v>
      </c>
      <c r="B1272" s="23" t="s">
        <v>90</v>
      </c>
      <c r="C1272" s="24" t="s">
        <v>174</v>
      </c>
      <c r="D1272" s="25" t="s">
        <v>100</v>
      </c>
      <c r="E1272" s="93"/>
      <c r="K1272" s="183"/>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https://www.comunidad.madrid/transparencia/</v>
      </c>
      <c r="D1273" s="99" t="s">
        <v>103</v>
      </c>
      <c r="E1273" s="79" t="str">
        <f t="shared" ref="E1273:E1307" si="66">IF(D1273&lt;&gt;"",IF(AND(B1273&lt;&gt;"",C1273&lt;&gt;""),"","ERR"),"")</f>
        <v/>
      </c>
      <c r="F1273" s="86" t="s">
        <v>101</v>
      </c>
      <c r="G1273" s="87" t="s">
        <v>102</v>
      </c>
      <c r="H1273" s="88" t="s">
        <v>103</v>
      </c>
      <c r="I1273" s="89" t="s">
        <v>93</v>
      </c>
      <c r="J1273" s="90" t="s">
        <v>91</v>
      </c>
      <c r="K1273" s="178" t="s">
        <v>97</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Aviso legal</v>
      </c>
      <c r="C1274" s="85" t="str" cm="1">
        <f t="array" ref="C1274">IFERROR(INDEX('03.Muestra'!$F$8:$F$42,SMALL(IF("Página Web"='03.Muestra'!$D$8:$D$42,ROW('03.Muestra'!$F$8:$F$42)-MIN(ROW('03.Muestra'!$D$8:$D$42))+1,""),ROW()-1272)),"")</f>
        <v>https://www.comunidad.madrid/transparencia/aviso-legal</v>
      </c>
      <c r="D1274" s="99" t="s">
        <v>103</v>
      </c>
      <c r="E1274" s="79" t="str">
        <f t="shared" si="66"/>
        <v/>
      </c>
      <c r="F1274" s="91">
        <f ca="1">COUNTIF($D1273:INDIRECT("$D" &amp;  SUM(ROW()-1,'03.Muestra'!$D$45)-1),F1273)</f>
        <v>0</v>
      </c>
      <c r="G1274" s="91">
        <f ca="1">COUNTIF($D1273:INDIRECT("$D" &amp;  SUM(ROW()-1,'03.Muestra'!$D$45)-1),G1273)</f>
        <v>0</v>
      </c>
      <c r="H1274" s="91">
        <f ca="1">COUNTIF($D1273:INDIRECT("$D" &amp;  SUM(ROW()-1,'03.Muestra'!$D$45)-1),H1273)</f>
        <v>14</v>
      </c>
      <c r="I1274" s="91">
        <f ca="1">COUNTIF($D1273:INDIRECT("$D" &amp;  SUM(ROW()-1,'03.Muestra'!$D$45)-1),I1273)</f>
        <v>0</v>
      </c>
      <c r="J1274" s="91">
        <f ca="1">COUNTIF($D1273:INDIRECT("$D" &amp;  SUM(ROW()-1,'03.Muestra'!$D$45)-1),J1273)</f>
        <v>0</v>
      </c>
      <c r="K1274" s="179">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Accesibilidad</v>
      </c>
      <c r="C1275" s="85" t="str" cm="1">
        <f t="array" ref="C1275">IFERROR(INDEX('03.Muestra'!$F$8:$F$42,SMALL(IF("Página Web"='03.Muestra'!$D$8:$D$42,ROW('03.Muestra'!$F$8:$F$42)-MIN(ROW('03.Muestra'!$D$8:$D$42))+1,""),ROW()-1272)),"")</f>
        <v>https://www.comunidad.madrid/transparencia/declaracion-accesibilidad</v>
      </c>
      <c r="D1275" s="99" t="s">
        <v>103</v>
      </c>
      <c r="E1275" s="79" t="str">
        <f t="shared" si="66"/>
        <v/>
      </c>
      <c r="G1275" s="18"/>
      <c r="H1275" s="18"/>
      <c r="I1275" s="18"/>
      <c r="J1275" s="18"/>
      <c r="K1275" s="183"/>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Tranparencia</v>
      </c>
      <c r="C1276" s="85" t="str" cm="1">
        <f t="array" ref="C1276">IFERROR(INDEX('03.Muestra'!$F$8:$F$42,SMALL(IF("Página Web"='03.Muestra'!$D$8:$D$42,ROW('03.Muestra'!$F$8:$F$42)-MIN(ROW('03.Muestra'!$D$8:$D$42))+1,""),ROW()-1272)),"")</f>
        <v>https://www.comunidad.madrid/transparencia/que-es-transparencia</v>
      </c>
      <c r="D1276" s="99" t="s">
        <v>103</v>
      </c>
      <c r="E1276" s="79" t="str">
        <f t="shared" si="66"/>
        <v/>
      </c>
      <c r="G1276" s="18"/>
      <c r="H1276" s="18"/>
      <c r="I1276" s="18"/>
      <c r="J1276" s="18"/>
      <c r="K1276" s="183"/>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Organización</v>
      </c>
      <c r="C1277" s="85" t="str" cm="1">
        <f t="array" ref="C1277">IFERROR(INDEX('03.Muestra'!$F$8:$F$42,SMALL(IF("Página Web"='03.Muestra'!$D$8:$D$42,ROW('03.Muestra'!$F$8:$F$42)-MIN(ROW('03.Muestra'!$D$8:$D$42))+1,""),ROW()-1272)),"")</f>
        <v>https://www.comunidad.madrid/transparencia/organizacion-recursos/organizacion</v>
      </c>
      <c r="D1277" s="99" t="s">
        <v>103</v>
      </c>
      <c r="E1277" s="79" t="str">
        <f t="shared" si="66"/>
        <v/>
      </c>
      <c r="G1277" s="18"/>
      <c r="H1277" s="18"/>
      <c r="I1277" s="18"/>
      <c r="J1277" s="18"/>
      <c r="K1277" s="183"/>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Quejas</v>
      </c>
      <c r="C1278" s="85" t="str" cm="1">
        <f t="array" ref="C1278">IFERROR(INDEX('03.Muestra'!$F$8:$F$42,SMALL(IF("Página Web"='03.Muestra'!$D$8:$D$42,ROW('03.Muestra'!$F$8:$F$42)-MIN(ROW('03.Muestra'!$D$8:$D$42))+1,""),ROW()-1272)),"")</f>
        <v>https://www.comunidad.madrid/transparencia/quejas-y-reclamaciones</v>
      </c>
      <c r="D1278" s="99" t="s">
        <v>103</v>
      </c>
      <c r="E1278" s="79" t="str">
        <f t="shared" si="66"/>
        <v/>
      </c>
      <c r="G1278" s="18"/>
      <c r="H1278" s="18"/>
      <c r="I1278" s="18"/>
      <c r="J1278" s="18"/>
      <c r="K1278" s="183"/>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Contratos</v>
      </c>
      <c r="C1279" s="85" t="str" cm="1">
        <f t="array" ref="C1279">IFERROR(INDEX('03.Muestra'!$F$8:$F$42,SMALL(IF("Página Web"='03.Muestra'!$D$8:$D$42,ROW('03.Muestra'!$F$8:$F$42)-MIN(ROW('03.Muestra'!$D$8:$D$42))+1,""),ROW()-1272)),"")</f>
        <v>https://www.comunidad.madrid/transparencia/contratos</v>
      </c>
      <c r="D1279" s="99" t="s">
        <v>103</v>
      </c>
      <c r="E1279" s="79" t="str">
        <f t="shared" si="66"/>
        <v/>
      </c>
      <c r="F1279" s="18"/>
      <c r="G1279" s="18"/>
      <c r="H1279" s="18"/>
      <c r="I1279" s="18"/>
      <c r="J1279" s="18"/>
      <c r="K1279" s="183"/>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Consulta</v>
      </c>
      <c r="C1280" s="85" t="str" cm="1">
        <f t="array" ref="C1280">IFERROR(INDEX('03.Muestra'!$F$8:$F$42,SMALL(IF("Página Web"='03.Muestra'!$D$8:$D$42,ROW('03.Muestra'!$F$8:$F$42)-MIN(ROW('03.Muestra'!$D$8:$D$42))+1,""),ROW()-1272)),"")</f>
        <v>https://www.comunidad.madrid/transparencia/normativa-planificacion/consulta-publica</v>
      </c>
      <c r="D1280" s="99" t="s">
        <v>103</v>
      </c>
      <c r="E1280" s="79" t="str">
        <f t="shared" si="66"/>
        <v/>
      </c>
      <c r="F1280" s="18"/>
      <c r="G1280" s="18"/>
      <c r="H1280" s="18"/>
      <c r="I1280" s="18"/>
      <c r="J1280" s="18"/>
      <c r="K1280" s="183"/>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Proyecto</v>
      </c>
      <c r="C1281" s="85" t="str" cm="1">
        <f t="array" ref="C1281">IFERROR(INDEX('03.Muestra'!$F$8:$F$42,SMALL(IF("Página Web"='03.Muestra'!$D$8:$D$42,ROW('03.Muestra'!$F$8:$F$42)-MIN(ROW('03.Muestra'!$D$8:$D$42))+1,""),ROW()-1272)),"")</f>
        <v>https://www.comunidad.madrid/transparencia/proyecto-orden-que-se-crea-comision-farmacia-y-productos-sanitarios-cm-y-se-establece-su-composicion</v>
      </c>
      <c r="D1281" s="99" t="s">
        <v>103</v>
      </c>
      <c r="E1281" s="79" t="str">
        <f t="shared" si="66"/>
        <v/>
      </c>
      <c r="F1281" s="18"/>
      <c r="G1281" s="18"/>
      <c r="H1281" s="18"/>
      <c r="I1281" s="18"/>
      <c r="J1281" s="18"/>
      <c r="K1281" s="183"/>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Planes y Programas</v>
      </c>
      <c r="C1282" s="85" t="str" cm="1">
        <f t="array" ref="C1282">IFERROR(INDEX('03.Muestra'!$F$8:$F$42,SMALL(IF("Página Web"='03.Muestra'!$D$8:$D$42,ROW('03.Muestra'!$F$8:$F$42)-MIN(ROW('03.Muestra'!$D$8:$D$42))+1,""),ROW()-1272)),"")</f>
        <v>https://www.comunidad.madrid/transparencia/normativa-planificacion/planes-programas</v>
      </c>
      <c r="D1282" s="99" t="s">
        <v>103</v>
      </c>
      <c r="E1282" s="79" t="str">
        <f t="shared" si="66"/>
        <v/>
      </c>
      <c r="F1282" s="18"/>
      <c r="G1282" s="18"/>
      <c r="H1282" s="18"/>
      <c r="I1282" s="18"/>
      <c r="J1282" s="18"/>
      <c r="K1282" s="183"/>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Estrategia</v>
      </c>
      <c r="C1283" s="85" t="str" cm="1">
        <f t="array" ref="C1283">IFERROR(INDEX('03.Muestra'!$F$8:$F$42,SMALL(IF("Página Web"='03.Muestra'!$D$8:$D$42,ROW('03.Muestra'!$F$8:$F$42)-MIN(ROW('03.Muestra'!$D$8:$D$42))+1,""),ROW()-1272)),"")</f>
        <v>https://www.comunidad.madrid/transparencia/informacion-institucional/planes-programas/estrategia-seguridad-del-paciente-del-servicio-madrileno</v>
      </c>
      <c r="D1283" s="99" t="s">
        <v>103</v>
      </c>
      <c r="E1283" s="79" t="str">
        <f t="shared" si="66"/>
        <v/>
      </c>
      <c r="F1283" s="18"/>
      <c r="G1283" s="18"/>
      <c r="H1283" s="18"/>
      <c r="I1283" s="18"/>
      <c r="J1283" s="18"/>
      <c r="K1283" s="183"/>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Huella</v>
      </c>
      <c r="C1284" s="85" t="str" cm="1">
        <f t="array" ref="C1284">IFERROR(INDEX('03.Muestra'!$F$8:$F$42,SMALL(IF("Página Web"='03.Muestra'!$D$8:$D$42,ROW('03.Muestra'!$F$8:$F$42)-MIN(ROW('03.Muestra'!$D$8:$D$42))+1,""),ROW()-1272)),"")</f>
        <v>https://www.comunidad.madrid/transparencia/normativa-planificacion/huella-normativa</v>
      </c>
      <c r="D1284" s="99" t="s">
        <v>103</v>
      </c>
      <c r="E1284" s="79" t="str">
        <f t="shared" si="66"/>
        <v/>
      </c>
      <c r="F1284" s="18"/>
      <c r="G1284" s="18"/>
      <c r="H1284" s="18"/>
      <c r="I1284" s="18"/>
      <c r="J1284" s="18"/>
      <c r="K1284" s="183"/>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Decreto</v>
      </c>
      <c r="C1285" s="85" t="str" cm="1">
        <f t="array" ref="C1285">IFERROR(INDEX('03.Muestra'!$F$8:$F$42,SMALL(IF("Página Web"='03.Muestra'!$D$8:$D$42,ROW('03.Muestra'!$F$8:$F$42)-MIN(ROW('03.Muestra'!$D$8:$D$42))+1,""),ROW()-1272)),"")</f>
        <v>https://www.comunidad.madrid/transparencia/decreto-del-consejo-gobierno-que-se-establece-estructura-organica-consejeria-familia-juventud-y</v>
      </c>
      <c r="D1285" s="99" t="s">
        <v>103</v>
      </c>
      <c r="E1285" s="79" t="str">
        <f t="shared" si="66"/>
        <v/>
      </c>
      <c r="F1285" s="18"/>
      <c r="G1285" s="18"/>
      <c r="H1285" s="18"/>
      <c r="I1285" s="18"/>
      <c r="J1285" s="18"/>
      <c r="K1285" s="183"/>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Entidades Locales</v>
      </c>
      <c r="C1286" s="85" t="str" cm="1">
        <f t="array" ref="C1286">IFERROR(INDEX('03.Muestra'!$F$8:$F$42,SMALL(IF("Página Web"='03.Muestra'!$D$8:$D$42,ROW('03.Muestra'!$F$8:$F$42)-MIN(ROW('03.Muestra'!$D$8:$D$42))+1,""),ROW()-1272)),"")</f>
        <v>https://www.comunidad.madrid/transparencia/entidades-locales</v>
      </c>
      <c r="D1286" s="99" t="s">
        <v>103</v>
      </c>
      <c r="E1286" s="79" t="str">
        <f t="shared" si="66"/>
        <v/>
      </c>
      <c r="F1286" s="18"/>
      <c r="G1286" s="18"/>
      <c r="H1286" s="18"/>
      <c r="I1286" s="18"/>
      <c r="J1286" s="18"/>
      <c r="K1286" s="183"/>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ref="D1287:D1307" si="67">IF(AND(B1287&lt;&gt;"",C1287&lt;&gt;""),"N/T","")</f>
        <v/>
      </c>
      <c r="E1287" s="79" t="str">
        <f t="shared" si="66"/>
        <v/>
      </c>
      <c r="F1287" s="18"/>
      <c r="G1287" s="18"/>
      <c r="H1287" s="18"/>
      <c r="I1287" s="18"/>
      <c r="J1287" s="18"/>
      <c r="K1287" s="183"/>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3"/>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3"/>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3"/>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3"/>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3"/>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3"/>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3"/>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3"/>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3"/>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3"/>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3"/>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3"/>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3"/>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3"/>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3"/>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3"/>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3"/>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3"/>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3"/>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3"/>
      <c r="L1307" s="18"/>
    </row>
    <row r="1308" spans="1:12" ht="12" customHeight="1">
      <c r="B1308" s="18"/>
      <c r="C1308" s="18"/>
      <c r="D1308" s="79"/>
      <c r="E1308" s="18"/>
      <c r="F1308" s="18"/>
      <c r="G1308" s="18"/>
      <c r="H1308" s="18"/>
      <c r="I1308" s="18"/>
      <c r="J1308" s="18"/>
      <c r="K1308" s="183"/>
      <c r="L1308" s="18"/>
    </row>
    <row r="1309" spans="1:12" ht="12" customHeight="1">
      <c r="B1309" s="96"/>
      <c r="C1309" s="18"/>
      <c r="D1309" s="79"/>
      <c r="E1309" s="18"/>
      <c r="F1309" s="18"/>
      <c r="G1309" s="18"/>
      <c r="H1309" s="18"/>
      <c r="I1309" s="18"/>
      <c r="J1309" s="18"/>
      <c r="K1309" s="183"/>
      <c r="L1309" s="18"/>
    </row>
    <row r="1310" spans="1:12" ht="29.25" customHeight="1">
      <c r="A1310" s="172" t="s">
        <v>98</v>
      </c>
      <c r="B1310" s="23" t="s">
        <v>90</v>
      </c>
      <c r="C1310" s="24" t="s">
        <v>175</v>
      </c>
      <c r="D1310" s="25" t="s">
        <v>100</v>
      </c>
      <c r="E1310" s="93"/>
      <c r="K1310" s="183"/>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https://www.comunidad.madrid/transparencia/</v>
      </c>
      <c r="D1311" s="99" t="s">
        <v>91</v>
      </c>
      <c r="E1311" s="79" t="str">
        <f t="shared" ref="E1311:E1345" si="68">IF(D1311&lt;&gt;"",IF(AND(B1311&lt;&gt;"",C1311&lt;&gt;""),"","ERR"),"")</f>
        <v/>
      </c>
      <c r="F1311" s="86" t="s">
        <v>101</v>
      </c>
      <c r="G1311" s="87" t="s">
        <v>102</v>
      </c>
      <c r="H1311" s="88" t="s">
        <v>103</v>
      </c>
      <c r="I1311" s="89" t="s">
        <v>93</v>
      </c>
      <c r="J1311" s="90" t="s">
        <v>91</v>
      </c>
      <c r="K1311" s="178" t="s">
        <v>97</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Aviso legal</v>
      </c>
      <c r="C1312" s="85" t="str" cm="1">
        <f t="array" ref="C1312">IFERROR(INDEX('03.Muestra'!$F$8:$F$42,SMALL(IF("Página Web"='03.Muestra'!$D$8:$D$42,ROW('03.Muestra'!$F$8:$F$42)-MIN(ROW('03.Muestra'!$D$8:$D$42))+1,""),ROW()-1310)),"")</f>
        <v>https://www.comunidad.madrid/transparencia/aviso-legal</v>
      </c>
      <c r="D1312" s="99" t="s">
        <v>91</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14</v>
      </c>
      <c r="K1312" s="179">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Accesibilidad</v>
      </c>
      <c r="C1313" s="85" t="str" cm="1">
        <f t="array" ref="C1313">IFERROR(INDEX('03.Muestra'!$F$8:$F$42,SMALL(IF("Página Web"='03.Muestra'!$D$8:$D$42,ROW('03.Muestra'!$F$8:$F$42)-MIN(ROW('03.Muestra'!$D$8:$D$42))+1,""),ROW()-1310)),"")</f>
        <v>https://www.comunidad.madrid/transparencia/declaracion-accesibilidad</v>
      </c>
      <c r="D1313" s="99" t="s">
        <v>91</v>
      </c>
      <c r="E1313" s="79" t="str">
        <f t="shared" si="68"/>
        <v/>
      </c>
      <c r="G1313" s="18"/>
      <c r="H1313" s="18"/>
      <c r="I1313" s="18"/>
      <c r="J1313" s="18"/>
      <c r="K1313" s="183"/>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Tranparencia</v>
      </c>
      <c r="C1314" s="85" t="str" cm="1">
        <f t="array" ref="C1314">IFERROR(INDEX('03.Muestra'!$F$8:$F$42,SMALL(IF("Página Web"='03.Muestra'!$D$8:$D$42,ROW('03.Muestra'!$F$8:$F$42)-MIN(ROW('03.Muestra'!$D$8:$D$42))+1,""),ROW()-1310)),"")</f>
        <v>https://www.comunidad.madrid/transparencia/que-es-transparencia</v>
      </c>
      <c r="D1314" s="99" t="s">
        <v>91</v>
      </c>
      <c r="E1314" s="79" t="str">
        <f t="shared" si="68"/>
        <v/>
      </c>
      <c r="G1314" s="18"/>
      <c r="H1314" s="18"/>
      <c r="I1314" s="18"/>
      <c r="J1314" s="18"/>
      <c r="K1314" s="183"/>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Organización</v>
      </c>
      <c r="C1315" s="85" t="str" cm="1">
        <f t="array" ref="C1315">IFERROR(INDEX('03.Muestra'!$F$8:$F$42,SMALL(IF("Página Web"='03.Muestra'!$D$8:$D$42,ROW('03.Muestra'!$F$8:$F$42)-MIN(ROW('03.Muestra'!$D$8:$D$42))+1,""),ROW()-1310)),"")</f>
        <v>https://www.comunidad.madrid/transparencia/organizacion-recursos/organizacion</v>
      </c>
      <c r="D1315" s="99" t="s">
        <v>91</v>
      </c>
      <c r="E1315" s="79" t="str">
        <f t="shared" si="68"/>
        <v/>
      </c>
      <c r="G1315" s="18"/>
      <c r="H1315" s="18"/>
      <c r="I1315" s="18"/>
      <c r="J1315" s="18"/>
      <c r="K1315" s="183"/>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Quejas</v>
      </c>
      <c r="C1316" s="85" t="str" cm="1">
        <f t="array" ref="C1316">IFERROR(INDEX('03.Muestra'!$F$8:$F$42,SMALL(IF("Página Web"='03.Muestra'!$D$8:$D$42,ROW('03.Muestra'!$F$8:$F$42)-MIN(ROW('03.Muestra'!$D$8:$D$42))+1,""),ROW()-1310)),"")</f>
        <v>https://www.comunidad.madrid/transparencia/quejas-y-reclamaciones</v>
      </c>
      <c r="D1316" s="99" t="s">
        <v>91</v>
      </c>
      <c r="E1316" s="79" t="str">
        <f t="shared" si="68"/>
        <v/>
      </c>
      <c r="G1316" s="18"/>
      <c r="H1316" s="18"/>
      <c r="I1316" s="18"/>
      <c r="J1316" s="18"/>
      <c r="K1316" s="183"/>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Contratos</v>
      </c>
      <c r="C1317" s="85" t="str" cm="1">
        <f t="array" ref="C1317">IFERROR(INDEX('03.Muestra'!$F$8:$F$42,SMALL(IF("Página Web"='03.Muestra'!$D$8:$D$42,ROW('03.Muestra'!$F$8:$F$42)-MIN(ROW('03.Muestra'!$D$8:$D$42))+1,""),ROW()-1310)),"")</f>
        <v>https://www.comunidad.madrid/transparencia/contratos</v>
      </c>
      <c r="D1317" s="99" t="s">
        <v>91</v>
      </c>
      <c r="E1317" s="79" t="str">
        <f t="shared" si="68"/>
        <v/>
      </c>
      <c r="F1317" s="18"/>
      <c r="G1317" s="18"/>
      <c r="H1317" s="18"/>
      <c r="I1317" s="18"/>
      <c r="J1317" s="18"/>
      <c r="K1317" s="183"/>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Consulta</v>
      </c>
      <c r="C1318" s="85" t="str" cm="1">
        <f t="array" ref="C1318">IFERROR(INDEX('03.Muestra'!$F$8:$F$42,SMALL(IF("Página Web"='03.Muestra'!$D$8:$D$42,ROW('03.Muestra'!$F$8:$F$42)-MIN(ROW('03.Muestra'!$D$8:$D$42))+1,""),ROW()-1310)),"")</f>
        <v>https://www.comunidad.madrid/transparencia/normativa-planificacion/consulta-publica</v>
      </c>
      <c r="D1318" s="99" t="s">
        <v>91</v>
      </c>
      <c r="E1318" s="79" t="str">
        <f t="shared" si="68"/>
        <v/>
      </c>
      <c r="F1318" s="18"/>
      <c r="G1318" s="18"/>
      <c r="H1318" s="18"/>
      <c r="I1318" s="18"/>
      <c r="J1318" s="18"/>
      <c r="K1318" s="183"/>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Proyecto</v>
      </c>
      <c r="C1319" s="85" t="str" cm="1">
        <f t="array" ref="C1319">IFERROR(INDEX('03.Muestra'!$F$8:$F$42,SMALL(IF("Página Web"='03.Muestra'!$D$8:$D$42,ROW('03.Muestra'!$F$8:$F$42)-MIN(ROW('03.Muestra'!$D$8:$D$42))+1,""),ROW()-1310)),"")</f>
        <v>https://www.comunidad.madrid/transparencia/proyecto-orden-que-se-crea-comision-farmacia-y-productos-sanitarios-cm-y-se-establece-su-composicion</v>
      </c>
      <c r="D1319" s="99" t="s">
        <v>91</v>
      </c>
      <c r="E1319" s="79" t="str">
        <f t="shared" si="68"/>
        <v/>
      </c>
      <c r="F1319" s="18"/>
      <c r="G1319" s="18"/>
      <c r="H1319" s="18"/>
      <c r="I1319" s="18"/>
      <c r="J1319" s="18"/>
      <c r="K1319" s="183"/>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Planes y Programas</v>
      </c>
      <c r="C1320" s="85" t="str" cm="1">
        <f t="array" ref="C1320">IFERROR(INDEX('03.Muestra'!$F$8:$F$42,SMALL(IF("Página Web"='03.Muestra'!$D$8:$D$42,ROW('03.Muestra'!$F$8:$F$42)-MIN(ROW('03.Muestra'!$D$8:$D$42))+1,""),ROW()-1310)),"")</f>
        <v>https://www.comunidad.madrid/transparencia/normativa-planificacion/planes-programas</v>
      </c>
      <c r="D1320" s="99" t="s">
        <v>91</v>
      </c>
      <c r="E1320" s="79" t="str">
        <f t="shared" si="68"/>
        <v/>
      </c>
      <c r="F1320" s="18"/>
      <c r="G1320" s="18"/>
      <c r="H1320" s="18"/>
      <c r="I1320" s="18"/>
      <c r="J1320" s="18"/>
      <c r="K1320" s="183"/>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Estrategia</v>
      </c>
      <c r="C1321" s="85" t="str" cm="1">
        <f t="array" ref="C1321">IFERROR(INDEX('03.Muestra'!$F$8:$F$42,SMALL(IF("Página Web"='03.Muestra'!$D$8:$D$42,ROW('03.Muestra'!$F$8:$F$42)-MIN(ROW('03.Muestra'!$D$8:$D$42))+1,""),ROW()-1310)),"")</f>
        <v>https://www.comunidad.madrid/transparencia/informacion-institucional/planes-programas/estrategia-seguridad-del-paciente-del-servicio-madrileno</v>
      </c>
      <c r="D1321" s="99" t="s">
        <v>91</v>
      </c>
      <c r="E1321" s="79" t="str">
        <f t="shared" si="68"/>
        <v/>
      </c>
      <c r="F1321" s="18"/>
      <c r="G1321" s="18"/>
      <c r="H1321" s="18"/>
      <c r="I1321" s="18"/>
      <c r="J1321" s="18"/>
      <c r="K1321" s="183"/>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Huella</v>
      </c>
      <c r="C1322" s="85" t="str" cm="1">
        <f t="array" ref="C1322">IFERROR(INDEX('03.Muestra'!$F$8:$F$42,SMALL(IF("Página Web"='03.Muestra'!$D$8:$D$42,ROW('03.Muestra'!$F$8:$F$42)-MIN(ROW('03.Muestra'!$D$8:$D$42))+1,""),ROW()-1310)),"")</f>
        <v>https://www.comunidad.madrid/transparencia/normativa-planificacion/huella-normativa</v>
      </c>
      <c r="D1322" s="99" t="s">
        <v>91</v>
      </c>
      <c r="E1322" s="79" t="str">
        <f t="shared" si="68"/>
        <v/>
      </c>
      <c r="F1322" s="18"/>
      <c r="G1322" s="18"/>
      <c r="H1322" s="18"/>
      <c r="I1322" s="18"/>
      <c r="J1322" s="18"/>
      <c r="K1322" s="183"/>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Decreto</v>
      </c>
      <c r="C1323" s="85" t="str" cm="1">
        <f t="array" ref="C1323">IFERROR(INDEX('03.Muestra'!$F$8:$F$42,SMALL(IF("Página Web"='03.Muestra'!$D$8:$D$42,ROW('03.Muestra'!$F$8:$F$42)-MIN(ROW('03.Muestra'!$D$8:$D$42))+1,""),ROW()-1310)),"")</f>
        <v>https://www.comunidad.madrid/transparencia/decreto-del-consejo-gobierno-que-se-establece-estructura-organica-consejeria-familia-juventud-y</v>
      </c>
      <c r="D1323" s="99" t="s">
        <v>91</v>
      </c>
      <c r="E1323" s="79" t="str">
        <f t="shared" si="68"/>
        <v/>
      </c>
      <c r="F1323" s="18"/>
      <c r="G1323" s="18"/>
      <c r="H1323" s="18"/>
      <c r="I1323" s="18"/>
      <c r="J1323" s="18"/>
      <c r="K1323" s="183"/>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Entidades Locales</v>
      </c>
      <c r="C1324" s="85" t="str" cm="1">
        <f t="array" ref="C1324">IFERROR(INDEX('03.Muestra'!$F$8:$F$42,SMALL(IF("Página Web"='03.Muestra'!$D$8:$D$42,ROW('03.Muestra'!$F$8:$F$42)-MIN(ROW('03.Muestra'!$D$8:$D$42))+1,""),ROW()-1310)),"")</f>
        <v>https://www.comunidad.madrid/transparencia/entidades-locales</v>
      </c>
      <c r="D1324" s="99" t="s">
        <v>91</v>
      </c>
      <c r="E1324" s="79" t="str">
        <f t="shared" si="68"/>
        <v/>
      </c>
      <c r="F1324" s="18"/>
      <c r="G1324" s="18"/>
      <c r="H1324" s="18"/>
      <c r="I1324" s="18"/>
      <c r="J1324" s="18"/>
      <c r="K1324" s="183"/>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ref="D1325:D1345" si="69">IF(AND(B1325&lt;&gt;"",C1325&lt;&gt;""),"N/T","")</f>
        <v/>
      </c>
      <c r="E1325" s="79" t="str">
        <f t="shared" si="68"/>
        <v/>
      </c>
      <c r="F1325" s="18"/>
      <c r="G1325" s="18"/>
      <c r="H1325" s="18"/>
      <c r="I1325" s="18"/>
      <c r="J1325" s="18"/>
      <c r="K1325" s="183"/>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3"/>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3"/>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3"/>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3"/>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3"/>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3"/>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3"/>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3"/>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3"/>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3"/>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3"/>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3"/>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3"/>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3"/>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3"/>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3"/>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3"/>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3"/>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3"/>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3"/>
      <c r="L1345" s="18"/>
    </row>
    <row r="1346" spans="1:12" ht="12" customHeight="1">
      <c r="B1346" s="18"/>
      <c r="C1346" s="18"/>
      <c r="D1346" s="79"/>
      <c r="E1346" s="18"/>
      <c r="F1346" s="18"/>
      <c r="G1346" s="18"/>
      <c r="H1346" s="18"/>
      <c r="I1346" s="18"/>
      <c r="J1346" s="18"/>
      <c r="K1346" s="183"/>
      <c r="L1346" s="18"/>
    </row>
    <row r="1347" spans="1:12" ht="12" customHeight="1">
      <c r="B1347" s="96"/>
      <c r="C1347" s="18"/>
      <c r="D1347" s="79"/>
      <c r="E1347" s="83"/>
      <c r="F1347" s="18"/>
      <c r="G1347" s="18"/>
      <c r="H1347" s="18"/>
      <c r="I1347" s="18"/>
      <c r="J1347" s="18"/>
      <c r="K1347" s="183"/>
      <c r="L1347" s="18"/>
    </row>
    <row r="1348" spans="1:12" ht="29.25" customHeight="1">
      <c r="A1348" s="172" t="s">
        <v>98</v>
      </c>
      <c r="B1348" s="23" t="s">
        <v>90</v>
      </c>
      <c r="C1348" s="24" t="s">
        <v>176</v>
      </c>
      <c r="D1348" s="25" t="s">
        <v>100</v>
      </c>
      <c r="E1348" s="93"/>
      <c r="K1348" s="183"/>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https://www.comunidad.madrid/transparencia/</v>
      </c>
      <c r="D1349" s="99" t="s">
        <v>103</v>
      </c>
      <c r="E1349" s="79" t="str">
        <f t="shared" ref="E1349:E1383" si="70">IF(D1349&lt;&gt;"",IF(AND(B1349&lt;&gt;"",C1349&lt;&gt;""),"","ERR"),"")</f>
        <v/>
      </c>
      <c r="F1349" s="86" t="s">
        <v>101</v>
      </c>
      <c r="G1349" s="87" t="s">
        <v>102</v>
      </c>
      <c r="H1349" s="88" t="s">
        <v>103</v>
      </c>
      <c r="I1349" s="89" t="s">
        <v>93</v>
      </c>
      <c r="J1349" s="90" t="s">
        <v>91</v>
      </c>
      <c r="K1349" s="178" t="s">
        <v>97</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Aviso legal</v>
      </c>
      <c r="C1350" s="85" t="str" cm="1">
        <f t="array" ref="C1350">IFERROR(INDEX('03.Muestra'!$F$8:$F$42,SMALL(IF("Página Web"='03.Muestra'!$D$8:$D$42,ROW('03.Muestra'!$F$8:$F$42)-MIN(ROW('03.Muestra'!$D$8:$D$42))+1,""),ROW()-1348)),"")</f>
        <v>https://www.comunidad.madrid/transparencia/aviso-legal</v>
      </c>
      <c r="D1350" s="99" t="s">
        <v>103</v>
      </c>
      <c r="E1350" s="79" t="str">
        <f t="shared" si="70"/>
        <v/>
      </c>
      <c r="F1350" s="91">
        <f ca="1">COUNTIF($D1349:INDIRECT("$D" &amp;  SUM(ROW()-1,'03.Muestra'!$D$45)-1),F1349)</f>
        <v>0</v>
      </c>
      <c r="G1350" s="91">
        <f ca="1">COUNTIF($D1349:INDIRECT("$D" &amp;  SUM(ROW()-1,'03.Muestra'!$D$45)-1),G1349)</f>
        <v>0</v>
      </c>
      <c r="H1350" s="91">
        <f ca="1">COUNTIF($D1349:INDIRECT("$D" &amp;  SUM(ROW()-1,'03.Muestra'!$D$45)-1),H1349)</f>
        <v>14</v>
      </c>
      <c r="I1350" s="91">
        <f ca="1">COUNTIF($D1349:INDIRECT("$D" &amp;  SUM(ROW()-1,'03.Muestra'!$D$45)-1),I1349)</f>
        <v>0</v>
      </c>
      <c r="J1350" s="91">
        <f ca="1">COUNTIF($D1349:INDIRECT("$D" &amp;  SUM(ROW()-1,'03.Muestra'!$D$45)-1),J1349)</f>
        <v>0</v>
      </c>
      <c r="K1350" s="179">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Accesibilidad</v>
      </c>
      <c r="C1351" s="85" t="str" cm="1">
        <f t="array" ref="C1351">IFERROR(INDEX('03.Muestra'!$F$8:$F$42,SMALL(IF("Página Web"='03.Muestra'!$D$8:$D$42,ROW('03.Muestra'!$F$8:$F$42)-MIN(ROW('03.Muestra'!$D$8:$D$42))+1,""),ROW()-1348)),"")</f>
        <v>https://www.comunidad.madrid/transparencia/declaracion-accesibilidad</v>
      </c>
      <c r="D1351" s="99" t="s">
        <v>103</v>
      </c>
      <c r="E1351" s="79" t="str">
        <f t="shared" si="70"/>
        <v/>
      </c>
      <c r="G1351" s="18"/>
      <c r="H1351" s="18"/>
      <c r="I1351" s="18"/>
      <c r="J1351" s="18"/>
      <c r="K1351" s="183"/>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Tranparencia</v>
      </c>
      <c r="C1352" s="85" t="str" cm="1">
        <f t="array" ref="C1352">IFERROR(INDEX('03.Muestra'!$F$8:$F$42,SMALL(IF("Página Web"='03.Muestra'!$D$8:$D$42,ROW('03.Muestra'!$F$8:$F$42)-MIN(ROW('03.Muestra'!$D$8:$D$42))+1,""),ROW()-1348)),"")</f>
        <v>https://www.comunidad.madrid/transparencia/que-es-transparencia</v>
      </c>
      <c r="D1352" s="99" t="s">
        <v>103</v>
      </c>
      <c r="E1352" s="79" t="str">
        <f t="shared" si="70"/>
        <v/>
      </c>
      <c r="G1352" s="18"/>
      <c r="H1352" s="18"/>
      <c r="I1352" s="18"/>
      <c r="J1352" s="18"/>
      <c r="K1352" s="183"/>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Organización</v>
      </c>
      <c r="C1353" s="85" t="str" cm="1">
        <f t="array" ref="C1353">IFERROR(INDEX('03.Muestra'!$F$8:$F$42,SMALL(IF("Página Web"='03.Muestra'!$D$8:$D$42,ROW('03.Muestra'!$F$8:$F$42)-MIN(ROW('03.Muestra'!$D$8:$D$42))+1,""),ROW()-1348)),"")</f>
        <v>https://www.comunidad.madrid/transparencia/organizacion-recursos/organizacion</v>
      </c>
      <c r="D1353" s="99" t="s">
        <v>103</v>
      </c>
      <c r="E1353" s="79" t="str">
        <f t="shared" si="70"/>
        <v/>
      </c>
      <c r="G1353" s="18"/>
      <c r="H1353" s="18"/>
      <c r="I1353" s="18"/>
      <c r="J1353" s="18"/>
      <c r="K1353" s="183"/>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Quejas</v>
      </c>
      <c r="C1354" s="85" t="str" cm="1">
        <f t="array" ref="C1354">IFERROR(INDEX('03.Muestra'!$F$8:$F$42,SMALL(IF("Página Web"='03.Muestra'!$D$8:$D$42,ROW('03.Muestra'!$F$8:$F$42)-MIN(ROW('03.Muestra'!$D$8:$D$42))+1,""),ROW()-1348)),"")</f>
        <v>https://www.comunidad.madrid/transparencia/quejas-y-reclamaciones</v>
      </c>
      <c r="D1354" s="99" t="s">
        <v>103</v>
      </c>
      <c r="E1354" s="79" t="str">
        <f t="shared" si="70"/>
        <v/>
      </c>
      <c r="G1354" s="18"/>
      <c r="H1354" s="18"/>
      <c r="I1354" s="18"/>
      <c r="J1354" s="18"/>
      <c r="K1354" s="183"/>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Contratos</v>
      </c>
      <c r="C1355" s="85" t="str" cm="1">
        <f t="array" ref="C1355">IFERROR(INDEX('03.Muestra'!$F$8:$F$42,SMALL(IF("Página Web"='03.Muestra'!$D$8:$D$42,ROW('03.Muestra'!$F$8:$F$42)-MIN(ROW('03.Muestra'!$D$8:$D$42))+1,""),ROW()-1348)),"")</f>
        <v>https://www.comunidad.madrid/transparencia/contratos</v>
      </c>
      <c r="D1355" s="99" t="s">
        <v>103</v>
      </c>
      <c r="E1355" s="79" t="str">
        <f t="shared" si="70"/>
        <v/>
      </c>
      <c r="F1355" s="18"/>
      <c r="G1355" s="18"/>
      <c r="H1355" s="18"/>
      <c r="I1355" s="18"/>
      <c r="J1355" s="18"/>
      <c r="K1355" s="183"/>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Consulta</v>
      </c>
      <c r="C1356" s="85" t="str" cm="1">
        <f t="array" ref="C1356">IFERROR(INDEX('03.Muestra'!$F$8:$F$42,SMALL(IF("Página Web"='03.Muestra'!$D$8:$D$42,ROW('03.Muestra'!$F$8:$F$42)-MIN(ROW('03.Muestra'!$D$8:$D$42))+1,""),ROW()-1348)),"")</f>
        <v>https://www.comunidad.madrid/transparencia/normativa-planificacion/consulta-publica</v>
      </c>
      <c r="D1356" s="99" t="s">
        <v>103</v>
      </c>
      <c r="E1356" s="79" t="str">
        <f t="shared" si="70"/>
        <v/>
      </c>
      <c r="F1356" s="18"/>
      <c r="G1356" s="18"/>
      <c r="H1356" s="18"/>
      <c r="I1356" s="18"/>
      <c r="J1356" s="18"/>
      <c r="K1356" s="183"/>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Proyecto</v>
      </c>
      <c r="C1357" s="85" t="str" cm="1">
        <f t="array" ref="C1357">IFERROR(INDEX('03.Muestra'!$F$8:$F$42,SMALL(IF("Página Web"='03.Muestra'!$D$8:$D$42,ROW('03.Muestra'!$F$8:$F$42)-MIN(ROW('03.Muestra'!$D$8:$D$42))+1,""),ROW()-1348)),"")</f>
        <v>https://www.comunidad.madrid/transparencia/proyecto-orden-que-se-crea-comision-farmacia-y-productos-sanitarios-cm-y-se-establece-su-composicion</v>
      </c>
      <c r="D1357" s="99" t="s">
        <v>103</v>
      </c>
      <c r="E1357" s="79" t="str">
        <f t="shared" si="70"/>
        <v/>
      </c>
      <c r="F1357" s="18"/>
      <c r="G1357" s="18"/>
      <c r="H1357" s="18"/>
      <c r="I1357" s="18"/>
      <c r="J1357" s="18"/>
      <c r="K1357" s="183"/>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Planes y Programas</v>
      </c>
      <c r="C1358" s="85" t="str" cm="1">
        <f t="array" ref="C1358">IFERROR(INDEX('03.Muestra'!$F$8:$F$42,SMALL(IF("Página Web"='03.Muestra'!$D$8:$D$42,ROW('03.Muestra'!$F$8:$F$42)-MIN(ROW('03.Muestra'!$D$8:$D$42))+1,""),ROW()-1348)),"")</f>
        <v>https://www.comunidad.madrid/transparencia/normativa-planificacion/planes-programas</v>
      </c>
      <c r="D1358" s="99" t="s">
        <v>103</v>
      </c>
      <c r="E1358" s="79" t="str">
        <f t="shared" si="70"/>
        <v/>
      </c>
      <c r="F1358" s="18"/>
      <c r="G1358" s="18"/>
      <c r="H1358" s="18"/>
      <c r="I1358" s="18"/>
      <c r="J1358" s="18"/>
      <c r="K1358" s="183"/>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Estrategia</v>
      </c>
      <c r="C1359" s="85" t="str" cm="1">
        <f t="array" ref="C1359">IFERROR(INDEX('03.Muestra'!$F$8:$F$42,SMALL(IF("Página Web"='03.Muestra'!$D$8:$D$42,ROW('03.Muestra'!$F$8:$F$42)-MIN(ROW('03.Muestra'!$D$8:$D$42))+1,""),ROW()-1348)),"")</f>
        <v>https://www.comunidad.madrid/transparencia/informacion-institucional/planes-programas/estrategia-seguridad-del-paciente-del-servicio-madrileno</v>
      </c>
      <c r="D1359" s="99" t="s">
        <v>103</v>
      </c>
      <c r="E1359" s="79" t="str">
        <f t="shared" si="70"/>
        <v/>
      </c>
      <c r="F1359" s="18"/>
      <c r="G1359" s="18"/>
      <c r="H1359" s="18"/>
      <c r="I1359" s="18"/>
      <c r="J1359" s="18"/>
      <c r="K1359" s="183"/>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Huella</v>
      </c>
      <c r="C1360" s="85" t="str" cm="1">
        <f t="array" ref="C1360">IFERROR(INDEX('03.Muestra'!$F$8:$F$42,SMALL(IF("Página Web"='03.Muestra'!$D$8:$D$42,ROW('03.Muestra'!$F$8:$F$42)-MIN(ROW('03.Muestra'!$D$8:$D$42))+1,""),ROW()-1348)),"")</f>
        <v>https://www.comunidad.madrid/transparencia/normativa-planificacion/huella-normativa</v>
      </c>
      <c r="D1360" s="99" t="s">
        <v>103</v>
      </c>
      <c r="E1360" s="79" t="str">
        <f t="shared" si="70"/>
        <v/>
      </c>
      <c r="F1360" s="18"/>
      <c r="G1360" s="18"/>
      <c r="H1360" s="18"/>
      <c r="I1360" s="18"/>
      <c r="J1360" s="18"/>
      <c r="K1360" s="183"/>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Decreto</v>
      </c>
      <c r="C1361" s="85" t="str" cm="1">
        <f t="array" ref="C1361">IFERROR(INDEX('03.Muestra'!$F$8:$F$42,SMALL(IF("Página Web"='03.Muestra'!$D$8:$D$42,ROW('03.Muestra'!$F$8:$F$42)-MIN(ROW('03.Muestra'!$D$8:$D$42))+1,""),ROW()-1348)),"")</f>
        <v>https://www.comunidad.madrid/transparencia/decreto-del-consejo-gobierno-que-se-establece-estructura-organica-consejeria-familia-juventud-y</v>
      </c>
      <c r="D1361" s="99" t="s">
        <v>103</v>
      </c>
      <c r="E1361" s="79" t="str">
        <f t="shared" si="70"/>
        <v/>
      </c>
      <c r="F1361" s="18"/>
      <c r="G1361" s="18"/>
      <c r="H1361" s="18"/>
      <c r="I1361" s="18"/>
      <c r="J1361" s="18"/>
      <c r="K1361" s="183"/>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Entidades Locales</v>
      </c>
      <c r="C1362" s="85" t="str" cm="1">
        <f t="array" ref="C1362">IFERROR(INDEX('03.Muestra'!$F$8:$F$42,SMALL(IF("Página Web"='03.Muestra'!$D$8:$D$42,ROW('03.Muestra'!$F$8:$F$42)-MIN(ROW('03.Muestra'!$D$8:$D$42))+1,""),ROW()-1348)),"")</f>
        <v>https://www.comunidad.madrid/transparencia/entidades-locales</v>
      </c>
      <c r="D1362" s="99" t="s">
        <v>103</v>
      </c>
      <c r="E1362" s="79" t="str">
        <f t="shared" si="70"/>
        <v/>
      </c>
      <c r="F1362" s="18"/>
      <c r="G1362" s="18"/>
      <c r="H1362" s="18"/>
      <c r="I1362" s="18"/>
      <c r="J1362" s="18"/>
      <c r="K1362" s="183"/>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ref="D1363:D1383" si="71">IF(AND(B1363&lt;&gt;"",C1363&lt;&gt;""),"N/T","")</f>
        <v/>
      </c>
      <c r="E1363" s="79" t="str">
        <f t="shared" si="70"/>
        <v/>
      </c>
      <c r="F1363" s="18"/>
      <c r="G1363" s="18"/>
      <c r="H1363" s="18"/>
      <c r="I1363" s="18"/>
      <c r="J1363" s="18"/>
      <c r="K1363" s="183"/>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3"/>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3"/>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3"/>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3"/>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3"/>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3"/>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3"/>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3"/>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3"/>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3"/>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3"/>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3"/>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3"/>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3"/>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3"/>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3"/>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3"/>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3"/>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3"/>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3"/>
      <c r="L1383" s="18"/>
    </row>
    <row r="1384" spans="1:12" ht="12" customHeight="1">
      <c r="B1384" s="96"/>
      <c r="C1384" s="18"/>
      <c r="D1384" s="79"/>
      <c r="E1384" s="18"/>
      <c r="F1384" s="18"/>
      <c r="G1384" s="18"/>
      <c r="H1384" s="18"/>
      <c r="I1384" s="18"/>
      <c r="J1384" s="18"/>
      <c r="K1384" s="183"/>
      <c r="L1384" s="18"/>
    </row>
    <row r="1385" spans="1:12" ht="12" customHeight="1">
      <c r="B1385" s="18"/>
      <c r="C1385" s="18"/>
      <c r="D1385" s="79"/>
      <c r="E1385" s="83"/>
      <c r="K1385" s="183"/>
      <c r="L1385" s="18"/>
    </row>
    <row r="1386" spans="1:12" ht="29.25" customHeight="1">
      <c r="A1386" s="172" t="s">
        <v>98</v>
      </c>
      <c r="B1386" s="23" t="s">
        <v>90</v>
      </c>
      <c r="C1386" s="24" t="s">
        <v>177</v>
      </c>
      <c r="D1386" s="25" t="s">
        <v>100</v>
      </c>
      <c r="E1386" s="93"/>
      <c r="K1386" s="183"/>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https://www.comunidad.madrid/transparencia/</v>
      </c>
      <c r="D1387" s="99" t="s">
        <v>91</v>
      </c>
      <c r="E1387" s="79" t="str">
        <f t="shared" ref="E1387:E1421" si="72">IF(D1387&lt;&gt;"",IF(AND(B1387&lt;&gt;"",C1387&lt;&gt;""),"","ERR"),"")</f>
        <v/>
      </c>
      <c r="F1387" s="86" t="s">
        <v>101</v>
      </c>
      <c r="G1387" s="87" t="s">
        <v>102</v>
      </c>
      <c r="H1387" s="88" t="s">
        <v>103</v>
      </c>
      <c r="I1387" s="89" t="s">
        <v>93</v>
      </c>
      <c r="J1387" s="90" t="s">
        <v>91</v>
      </c>
      <c r="K1387" s="178" t="s">
        <v>97</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Aviso legal</v>
      </c>
      <c r="C1388" s="85" t="str" cm="1">
        <f t="array" ref="C1388">IFERROR(INDEX('03.Muestra'!$F$8:$F$42,SMALL(IF("Página Web"='03.Muestra'!$D$8:$D$42,ROW('03.Muestra'!$F$8:$F$42)-MIN(ROW('03.Muestra'!$D$8:$D$42))+1,""),ROW()-1386)),"")</f>
        <v>https://www.comunidad.madrid/transparencia/aviso-legal</v>
      </c>
      <c r="D1388" s="99" t="s">
        <v>91</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14</v>
      </c>
      <c r="K1388" s="179">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Accesibilidad</v>
      </c>
      <c r="C1389" s="85" t="str" cm="1">
        <f t="array" ref="C1389">IFERROR(INDEX('03.Muestra'!$F$8:$F$42,SMALL(IF("Página Web"='03.Muestra'!$D$8:$D$42,ROW('03.Muestra'!$F$8:$F$42)-MIN(ROW('03.Muestra'!$D$8:$D$42))+1,""),ROW()-1386)),"")</f>
        <v>https://www.comunidad.madrid/transparencia/declaracion-accesibilidad</v>
      </c>
      <c r="D1389" s="99" t="s">
        <v>91</v>
      </c>
      <c r="E1389" s="79" t="str">
        <f t="shared" si="72"/>
        <v/>
      </c>
      <c r="F1389" s="18"/>
      <c r="G1389" s="18"/>
      <c r="H1389" s="18"/>
      <c r="I1389" s="18"/>
      <c r="J1389" s="18"/>
      <c r="K1389" s="183"/>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Tranparencia</v>
      </c>
      <c r="C1390" s="85" t="str" cm="1">
        <f t="array" ref="C1390">IFERROR(INDEX('03.Muestra'!$F$8:$F$42,SMALL(IF("Página Web"='03.Muestra'!$D$8:$D$42,ROW('03.Muestra'!$F$8:$F$42)-MIN(ROW('03.Muestra'!$D$8:$D$42))+1,""),ROW()-1386)),"")</f>
        <v>https://www.comunidad.madrid/transparencia/que-es-transparencia</v>
      </c>
      <c r="D1390" s="99" t="s">
        <v>91</v>
      </c>
      <c r="E1390" s="79" t="str">
        <f t="shared" si="72"/>
        <v/>
      </c>
      <c r="F1390" s="18"/>
      <c r="G1390" s="18"/>
      <c r="H1390" s="18"/>
      <c r="I1390" s="18"/>
      <c r="K1390" s="184"/>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Organización</v>
      </c>
      <c r="C1391" s="85" t="str" cm="1">
        <f t="array" ref="C1391">IFERROR(INDEX('03.Muestra'!$F$8:$F$42,SMALL(IF("Página Web"='03.Muestra'!$D$8:$D$42,ROW('03.Muestra'!$F$8:$F$42)-MIN(ROW('03.Muestra'!$D$8:$D$42))+1,""),ROW()-1386)),"")</f>
        <v>https://www.comunidad.madrid/transparencia/organizacion-recursos/organizacion</v>
      </c>
      <c r="D1391" s="99" t="s">
        <v>91</v>
      </c>
      <c r="E1391" s="79" t="str">
        <f t="shared" si="72"/>
        <v/>
      </c>
      <c r="F1391" s="78"/>
      <c r="G1391" s="18"/>
      <c r="H1391" s="18"/>
      <c r="I1391" s="18"/>
      <c r="K1391" s="184"/>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Quejas</v>
      </c>
      <c r="C1392" s="85" t="str" cm="1">
        <f t="array" ref="C1392">IFERROR(INDEX('03.Muestra'!$F$8:$F$42,SMALL(IF("Página Web"='03.Muestra'!$D$8:$D$42,ROW('03.Muestra'!$F$8:$F$42)-MIN(ROW('03.Muestra'!$D$8:$D$42))+1,""),ROW()-1386)),"")</f>
        <v>https://www.comunidad.madrid/transparencia/quejas-y-reclamaciones</v>
      </c>
      <c r="D1392" s="99" t="s">
        <v>91</v>
      </c>
      <c r="E1392" s="79" t="str">
        <f t="shared" si="72"/>
        <v/>
      </c>
      <c r="F1392" s="18"/>
      <c r="G1392" s="18"/>
      <c r="H1392" s="18"/>
      <c r="I1392" s="18"/>
      <c r="K1392" s="184"/>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Contratos</v>
      </c>
      <c r="C1393" s="85" t="str" cm="1">
        <f t="array" ref="C1393">IFERROR(INDEX('03.Muestra'!$F$8:$F$42,SMALL(IF("Página Web"='03.Muestra'!$D$8:$D$42,ROW('03.Muestra'!$F$8:$F$42)-MIN(ROW('03.Muestra'!$D$8:$D$42))+1,""),ROW()-1386)),"")</f>
        <v>https://www.comunidad.madrid/transparencia/contratos</v>
      </c>
      <c r="D1393" s="99" t="s">
        <v>91</v>
      </c>
      <c r="E1393" s="79" t="str">
        <f t="shared" si="72"/>
        <v/>
      </c>
      <c r="F1393" s="18"/>
      <c r="G1393" s="18"/>
      <c r="H1393" s="18"/>
      <c r="I1393" s="18"/>
      <c r="K1393" s="184"/>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Consulta</v>
      </c>
      <c r="C1394" s="85" t="str" cm="1">
        <f t="array" ref="C1394">IFERROR(INDEX('03.Muestra'!$F$8:$F$42,SMALL(IF("Página Web"='03.Muestra'!$D$8:$D$42,ROW('03.Muestra'!$F$8:$F$42)-MIN(ROW('03.Muestra'!$D$8:$D$42))+1,""),ROW()-1386)),"")</f>
        <v>https://www.comunidad.madrid/transparencia/normativa-planificacion/consulta-publica</v>
      </c>
      <c r="D1394" s="99" t="s">
        <v>91</v>
      </c>
      <c r="E1394" s="79" t="str">
        <f t="shared" si="72"/>
        <v/>
      </c>
      <c r="F1394" s="18"/>
      <c r="G1394" s="18"/>
      <c r="H1394" s="18"/>
      <c r="I1394" s="18"/>
      <c r="J1394" s="18"/>
      <c r="K1394" s="183"/>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Proyecto</v>
      </c>
      <c r="C1395" s="85" t="str" cm="1">
        <f t="array" ref="C1395">IFERROR(INDEX('03.Muestra'!$F$8:$F$42,SMALL(IF("Página Web"='03.Muestra'!$D$8:$D$42,ROW('03.Muestra'!$F$8:$F$42)-MIN(ROW('03.Muestra'!$D$8:$D$42))+1,""),ROW()-1386)),"")</f>
        <v>https://www.comunidad.madrid/transparencia/proyecto-orden-que-se-crea-comision-farmacia-y-productos-sanitarios-cm-y-se-establece-su-composicion</v>
      </c>
      <c r="D1395" s="99" t="s">
        <v>91</v>
      </c>
      <c r="E1395" s="79" t="str">
        <f t="shared" si="72"/>
        <v/>
      </c>
      <c r="F1395" s="18"/>
      <c r="G1395" s="18"/>
      <c r="H1395" s="18"/>
      <c r="I1395" s="18"/>
      <c r="J1395" s="18"/>
      <c r="K1395" s="183"/>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Planes y Programas</v>
      </c>
      <c r="C1396" s="85" t="str" cm="1">
        <f t="array" ref="C1396">IFERROR(INDEX('03.Muestra'!$F$8:$F$42,SMALL(IF("Página Web"='03.Muestra'!$D$8:$D$42,ROW('03.Muestra'!$F$8:$F$42)-MIN(ROW('03.Muestra'!$D$8:$D$42))+1,""),ROW()-1386)),"")</f>
        <v>https://www.comunidad.madrid/transparencia/normativa-planificacion/planes-programas</v>
      </c>
      <c r="D1396" s="99" t="s">
        <v>91</v>
      </c>
      <c r="E1396" s="79" t="str">
        <f t="shared" si="72"/>
        <v/>
      </c>
      <c r="F1396" s="18"/>
      <c r="G1396" s="18"/>
      <c r="H1396" s="18"/>
      <c r="I1396" s="18"/>
      <c r="J1396" s="18"/>
      <c r="K1396" s="183"/>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Estrategia</v>
      </c>
      <c r="C1397" s="85" t="str" cm="1">
        <f t="array" ref="C1397">IFERROR(INDEX('03.Muestra'!$F$8:$F$42,SMALL(IF("Página Web"='03.Muestra'!$D$8:$D$42,ROW('03.Muestra'!$F$8:$F$42)-MIN(ROW('03.Muestra'!$D$8:$D$42))+1,""),ROW()-1386)),"")</f>
        <v>https://www.comunidad.madrid/transparencia/informacion-institucional/planes-programas/estrategia-seguridad-del-paciente-del-servicio-madrileno</v>
      </c>
      <c r="D1397" s="99" t="s">
        <v>91</v>
      </c>
      <c r="E1397" s="79" t="str">
        <f t="shared" si="72"/>
        <v/>
      </c>
      <c r="F1397" s="18"/>
      <c r="G1397" s="18"/>
      <c r="H1397" s="18"/>
      <c r="I1397" s="18"/>
      <c r="J1397" s="18"/>
      <c r="K1397" s="183"/>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Huella</v>
      </c>
      <c r="C1398" s="85" t="str" cm="1">
        <f t="array" ref="C1398">IFERROR(INDEX('03.Muestra'!$F$8:$F$42,SMALL(IF("Página Web"='03.Muestra'!$D$8:$D$42,ROW('03.Muestra'!$F$8:$F$42)-MIN(ROW('03.Muestra'!$D$8:$D$42))+1,""),ROW()-1386)),"")</f>
        <v>https://www.comunidad.madrid/transparencia/normativa-planificacion/huella-normativa</v>
      </c>
      <c r="D1398" s="99" t="s">
        <v>91</v>
      </c>
      <c r="E1398" s="79" t="str">
        <f t="shared" si="72"/>
        <v/>
      </c>
      <c r="F1398" s="18"/>
      <c r="G1398" s="18"/>
      <c r="H1398" s="18"/>
      <c r="I1398" s="18"/>
      <c r="J1398" s="18"/>
      <c r="K1398" s="183"/>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Decreto</v>
      </c>
      <c r="C1399" s="85" t="str" cm="1">
        <f t="array" ref="C1399">IFERROR(INDEX('03.Muestra'!$F$8:$F$42,SMALL(IF("Página Web"='03.Muestra'!$D$8:$D$42,ROW('03.Muestra'!$F$8:$F$42)-MIN(ROW('03.Muestra'!$D$8:$D$42))+1,""),ROW()-1386)),"")</f>
        <v>https://www.comunidad.madrid/transparencia/decreto-del-consejo-gobierno-que-se-establece-estructura-organica-consejeria-familia-juventud-y</v>
      </c>
      <c r="D1399" s="99" t="s">
        <v>91</v>
      </c>
      <c r="E1399" s="79" t="str">
        <f t="shared" si="72"/>
        <v/>
      </c>
      <c r="F1399" s="18"/>
      <c r="G1399" s="18"/>
      <c r="H1399" s="18"/>
      <c r="I1399" s="18"/>
      <c r="J1399" s="18"/>
      <c r="K1399" s="183"/>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Entidades Locales</v>
      </c>
      <c r="C1400" s="85" t="str" cm="1">
        <f t="array" ref="C1400">IFERROR(INDEX('03.Muestra'!$F$8:$F$42,SMALL(IF("Página Web"='03.Muestra'!$D$8:$D$42,ROW('03.Muestra'!$F$8:$F$42)-MIN(ROW('03.Muestra'!$D$8:$D$42))+1,""),ROW()-1386)),"")</f>
        <v>https://www.comunidad.madrid/transparencia/entidades-locales</v>
      </c>
      <c r="D1400" s="99" t="s">
        <v>91</v>
      </c>
      <c r="E1400" s="79" t="str">
        <f t="shared" si="72"/>
        <v/>
      </c>
      <c r="F1400" s="18"/>
      <c r="G1400" s="18"/>
      <c r="H1400" s="18"/>
      <c r="I1400" s="18"/>
      <c r="J1400" s="18"/>
      <c r="K1400" s="183"/>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ref="D1401:D1421" si="73">IF(AND(B1401&lt;&gt;"",C1401&lt;&gt;""),"N/T","")</f>
        <v/>
      </c>
      <c r="E1401" s="79" t="str">
        <f t="shared" si="72"/>
        <v/>
      </c>
      <c r="F1401" s="18"/>
      <c r="G1401" s="18"/>
      <c r="H1401" s="18"/>
      <c r="I1401" s="18"/>
      <c r="J1401" s="18"/>
      <c r="K1401" s="183"/>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3"/>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3"/>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3"/>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3"/>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3"/>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3"/>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3"/>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3"/>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3"/>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3"/>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3"/>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3"/>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3"/>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3"/>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3"/>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3"/>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3"/>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3"/>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3"/>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3"/>
      <c r="L1421" s="18"/>
    </row>
    <row r="1422" spans="1:12" ht="12" customHeight="1">
      <c r="B1422" s="18"/>
      <c r="C1422" s="18"/>
      <c r="D1422" s="79"/>
      <c r="E1422" s="18"/>
      <c r="F1422" s="18"/>
      <c r="G1422" s="18"/>
      <c r="H1422" s="18"/>
      <c r="I1422" s="18"/>
      <c r="J1422" s="18"/>
      <c r="K1422" s="183"/>
      <c r="L1422" s="18"/>
    </row>
    <row r="1423" spans="1:12" ht="12" customHeight="1">
      <c r="B1423" s="18"/>
      <c r="C1423" s="18"/>
      <c r="D1423" s="79"/>
      <c r="E1423" s="83"/>
      <c r="F1423" s="18"/>
      <c r="G1423" s="18"/>
      <c r="H1423" s="18"/>
      <c r="I1423" s="18"/>
      <c r="J1423" s="18"/>
      <c r="K1423" s="183"/>
      <c r="L1423" s="18"/>
    </row>
    <row r="1424" spans="1:12" ht="29.25" customHeight="1">
      <c r="A1424" s="172" t="s">
        <v>98</v>
      </c>
      <c r="B1424" s="23" t="s">
        <v>90</v>
      </c>
      <c r="C1424" s="24" t="s">
        <v>178</v>
      </c>
      <c r="D1424" s="25" t="s">
        <v>100</v>
      </c>
      <c r="E1424" s="93"/>
      <c r="K1424" s="183"/>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https://www.comunidad.madrid/transparencia/</v>
      </c>
      <c r="D1425" s="99" t="s">
        <v>103</v>
      </c>
      <c r="E1425" s="79" t="str">
        <f t="shared" ref="E1425:E1459" si="74">IF(D1425&lt;&gt;"",IF(AND(B1425&lt;&gt;"",C1425&lt;&gt;""),"","ERR"),"")</f>
        <v/>
      </c>
      <c r="F1425" s="86" t="s">
        <v>101</v>
      </c>
      <c r="G1425" s="87" t="s">
        <v>102</v>
      </c>
      <c r="H1425" s="88" t="s">
        <v>103</v>
      </c>
      <c r="I1425" s="89" t="s">
        <v>93</v>
      </c>
      <c r="J1425" s="90" t="s">
        <v>91</v>
      </c>
      <c r="K1425" s="178" t="s">
        <v>97</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Aviso legal</v>
      </c>
      <c r="C1426" s="85" t="str" cm="1">
        <f t="array" ref="C1426">IFERROR(INDEX('03.Muestra'!$F$8:$F$42,SMALL(IF("Página Web"='03.Muestra'!$D$8:$D$42,ROW('03.Muestra'!$F$8:$F$42)-MIN(ROW('03.Muestra'!$D$8:$D$42))+1,""),ROW()-1424)),"")</f>
        <v>https://www.comunidad.madrid/transparencia/aviso-legal</v>
      </c>
      <c r="D1426" s="99" t="s">
        <v>103</v>
      </c>
      <c r="E1426" s="79" t="str">
        <f t="shared" si="74"/>
        <v/>
      </c>
      <c r="F1426" s="91">
        <f ca="1">COUNTIF($D1425:INDIRECT("$D" &amp;  SUM(ROW()-1,'03.Muestra'!$D$45)-1),F1425)</f>
        <v>0</v>
      </c>
      <c r="G1426" s="91">
        <f ca="1">COUNTIF($D1425:INDIRECT("$D" &amp;  SUM(ROW()-1,'03.Muestra'!$D$45)-1),G1425)</f>
        <v>0</v>
      </c>
      <c r="H1426" s="91">
        <f ca="1">COUNTIF($D1425:INDIRECT("$D" &amp;  SUM(ROW()-1,'03.Muestra'!$D$45)-1),H1425)</f>
        <v>14</v>
      </c>
      <c r="I1426" s="91">
        <f ca="1">COUNTIF($D1425:INDIRECT("$D" &amp;  SUM(ROW()-1,'03.Muestra'!$D$45)-1),I1425)</f>
        <v>0</v>
      </c>
      <c r="J1426" s="91">
        <f ca="1">COUNTIF($D1425:INDIRECT("$D" &amp;  SUM(ROW()-1,'03.Muestra'!$D$45)-1),J1425)</f>
        <v>0</v>
      </c>
      <c r="K1426" s="179">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Accesibilidad</v>
      </c>
      <c r="C1427" s="85" t="str" cm="1">
        <f t="array" ref="C1427">IFERROR(INDEX('03.Muestra'!$F$8:$F$42,SMALL(IF("Página Web"='03.Muestra'!$D$8:$D$42,ROW('03.Muestra'!$F$8:$F$42)-MIN(ROW('03.Muestra'!$D$8:$D$42))+1,""),ROW()-1424)),"")</f>
        <v>https://www.comunidad.madrid/transparencia/declaracion-accesibilidad</v>
      </c>
      <c r="D1427" s="99" t="s">
        <v>103</v>
      </c>
      <c r="E1427" s="79" t="str">
        <f t="shared" si="74"/>
        <v/>
      </c>
      <c r="G1427" s="18"/>
      <c r="H1427" s="18"/>
      <c r="I1427" s="18"/>
      <c r="J1427" s="18"/>
      <c r="K1427" s="183"/>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Tranparencia</v>
      </c>
      <c r="C1428" s="85" t="str" cm="1">
        <f t="array" ref="C1428">IFERROR(INDEX('03.Muestra'!$F$8:$F$42,SMALL(IF("Página Web"='03.Muestra'!$D$8:$D$42,ROW('03.Muestra'!$F$8:$F$42)-MIN(ROW('03.Muestra'!$D$8:$D$42))+1,""),ROW()-1424)),"")</f>
        <v>https://www.comunidad.madrid/transparencia/que-es-transparencia</v>
      </c>
      <c r="D1428" s="99" t="s">
        <v>103</v>
      </c>
      <c r="E1428" s="79" t="str">
        <f t="shared" si="74"/>
        <v/>
      </c>
      <c r="G1428" s="18"/>
      <c r="H1428" s="18"/>
      <c r="I1428" s="18"/>
      <c r="J1428" s="18"/>
      <c r="K1428" s="183"/>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Organización</v>
      </c>
      <c r="C1429" s="85" t="str" cm="1">
        <f t="array" ref="C1429">IFERROR(INDEX('03.Muestra'!$F$8:$F$42,SMALL(IF("Página Web"='03.Muestra'!$D$8:$D$42,ROW('03.Muestra'!$F$8:$F$42)-MIN(ROW('03.Muestra'!$D$8:$D$42))+1,""),ROW()-1424)),"")</f>
        <v>https://www.comunidad.madrid/transparencia/organizacion-recursos/organizacion</v>
      </c>
      <c r="D1429" s="99" t="s">
        <v>103</v>
      </c>
      <c r="E1429" s="79" t="str">
        <f t="shared" si="74"/>
        <v/>
      </c>
      <c r="G1429" s="18"/>
      <c r="H1429" s="18"/>
      <c r="I1429" s="18"/>
      <c r="J1429" s="18"/>
      <c r="K1429" s="183"/>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Quejas</v>
      </c>
      <c r="C1430" s="85" t="str" cm="1">
        <f t="array" ref="C1430">IFERROR(INDEX('03.Muestra'!$F$8:$F$42,SMALL(IF("Página Web"='03.Muestra'!$D$8:$D$42,ROW('03.Muestra'!$F$8:$F$42)-MIN(ROW('03.Muestra'!$D$8:$D$42))+1,""),ROW()-1424)),"")</f>
        <v>https://www.comunidad.madrid/transparencia/quejas-y-reclamaciones</v>
      </c>
      <c r="D1430" s="99" t="s">
        <v>103</v>
      </c>
      <c r="E1430" s="79" t="str">
        <f t="shared" si="74"/>
        <v/>
      </c>
      <c r="G1430" s="18"/>
      <c r="H1430" s="18"/>
      <c r="I1430" s="18"/>
      <c r="J1430" s="18"/>
      <c r="K1430" s="183"/>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Contratos</v>
      </c>
      <c r="C1431" s="85" t="str" cm="1">
        <f t="array" ref="C1431">IFERROR(INDEX('03.Muestra'!$F$8:$F$42,SMALL(IF("Página Web"='03.Muestra'!$D$8:$D$42,ROW('03.Muestra'!$F$8:$F$42)-MIN(ROW('03.Muestra'!$D$8:$D$42))+1,""),ROW()-1424)),"")</f>
        <v>https://www.comunidad.madrid/transparencia/contratos</v>
      </c>
      <c r="D1431" s="99" t="s">
        <v>103</v>
      </c>
      <c r="E1431" s="79" t="str">
        <f t="shared" si="74"/>
        <v/>
      </c>
      <c r="F1431" s="18"/>
      <c r="G1431" s="18"/>
      <c r="H1431" s="18"/>
      <c r="I1431" s="18"/>
      <c r="J1431" s="18"/>
      <c r="K1431" s="183"/>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Consulta</v>
      </c>
      <c r="C1432" s="85" t="str" cm="1">
        <f t="array" ref="C1432">IFERROR(INDEX('03.Muestra'!$F$8:$F$42,SMALL(IF("Página Web"='03.Muestra'!$D$8:$D$42,ROW('03.Muestra'!$F$8:$F$42)-MIN(ROW('03.Muestra'!$D$8:$D$42))+1,""),ROW()-1424)),"")</f>
        <v>https://www.comunidad.madrid/transparencia/normativa-planificacion/consulta-publica</v>
      </c>
      <c r="D1432" s="99" t="s">
        <v>103</v>
      </c>
      <c r="E1432" s="79" t="str">
        <f t="shared" si="74"/>
        <v/>
      </c>
      <c r="F1432" s="18"/>
      <c r="G1432" s="18"/>
      <c r="H1432" s="18"/>
      <c r="I1432" s="18"/>
      <c r="J1432" s="18"/>
      <c r="K1432" s="183"/>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Proyecto</v>
      </c>
      <c r="C1433" s="85" t="str" cm="1">
        <f t="array" ref="C1433">IFERROR(INDEX('03.Muestra'!$F$8:$F$42,SMALL(IF("Página Web"='03.Muestra'!$D$8:$D$42,ROW('03.Muestra'!$F$8:$F$42)-MIN(ROW('03.Muestra'!$D$8:$D$42))+1,""),ROW()-1424)),"")</f>
        <v>https://www.comunidad.madrid/transparencia/proyecto-orden-que-se-crea-comision-farmacia-y-productos-sanitarios-cm-y-se-establece-su-composicion</v>
      </c>
      <c r="D1433" s="99" t="s">
        <v>103</v>
      </c>
      <c r="E1433" s="79" t="str">
        <f t="shared" si="74"/>
        <v/>
      </c>
      <c r="F1433" s="18"/>
      <c r="G1433" s="18"/>
      <c r="H1433" s="18"/>
      <c r="I1433" s="18"/>
      <c r="J1433" s="18"/>
      <c r="K1433" s="183"/>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Planes y Programas</v>
      </c>
      <c r="C1434" s="85" t="str" cm="1">
        <f t="array" ref="C1434">IFERROR(INDEX('03.Muestra'!$F$8:$F$42,SMALL(IF("Página Web"='03.Muestra'!$D$8:$D$42,ROW('03.Muestra'!$F$8:$F$42)-MIN(ROW('03.Muestra'!$D$8:$D$42))+1,""),ROW()-1424)),"")</f>
        <v>https://www.comunidad.madrid/transparencia/normativa-planificacion/planes-programas</v>
      </c>
      <c r="D1434" s="99" t="s">
        <v>103</v>
      </c>
      <c r="E1434" s="79" t="str">
        <f t="shared" si="74"/>
        <v/>
      </c>
      <c r="F1434" s="18"/>
      <c r="G1434" s="18"/>
      <c r="H1434" s="18"/>
      <c r="I1434" s="18"/>
      <c r="J1434" s="18"/>
      <c r="K1434" s="183"/>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Estrategia</v>
      </c>
      <c r="C1435" s="85" t="str" cm="1">
        <f t="array" ref="C1435">IFERROR(INDEX('03.Muestra'!$F$8:$F$42,SMALL(IF("Página Web"='03.Muestra'!$D$8:$D$42,ROW('03.Muestra'!$F$8:$F$42)-MIN(ROW('03.Muestra'!$D$8:$D$42))+1,""),ROW()-1424)),"")</f>
        <v>https://www.comunidad.madrid/transparencia/informacion-institucional/planes-programas/estrategia-seguridad-del-paciente-del-servicio-madrileno</v>
      </c>
      <c r="D1435" s="99" t="s">
        <v>103</v>
      </c>
      <c r="E1435" s="79" t="str">
        <f t="shared" si="74"/>
        <v/>
      </c>
      <c r="F1435" s="18"/>
      <c r="G1435" s="18"/>
      <c r="H1435" s="18"/>
      <c r="I1435" s="18"/>
      <c r="J1435" s="18"/>
      <c r="K1435" s="183"/>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Huella</v>
      </c>
      <c r="C1436" s="85" t="str" cm="1">
        <f t="array" ref="C1436">IFERROR(INDEX('03.Muestra'!$F$8:$F$42,SMALL(IF("Página Web"='03.Muestra'!$D$8:$D$42,ROW('03.Muestra'!$F$8:$F$42)-MIN(ROW('03.Muestra'!$D$8:$D$42))+1,""),ROW()-1424)),"")</f>
        <v>https://www.comunidad.madrid/transparencia/normativa-planificacion/huella-normativa</v>
      </c>
      <c r="D1436" s="99" t="s">
        <v>103</v>
      </c>
      <c r="E1436" s="79" t="str">
        <f t="shared" si="74"/>
        <v/>
      </c>
      <c r="F1436" s="18"/>
      <c r="G1436" s="18"/>
      <c r="H1436" s="18"/>
      <c r="I1436" s="18"/>
      <c r="J1436" s="18"/>
      <c r="K1436" s="183"/>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Decreto</v>
      </c>
      <c r="C1437" s="85" t="str" cm="1">
        <f t="array" ref="C1437">IFERROR(INDEX('03.Muestra'!$F$8:$F$42,SMALL(IF("Página Web"='03.Muestra'!$D$8:$D$42,ROW('03.Muestra'!$F$8:$F$42)-MIN(ROW('03.Muestra'!$D$8:$D$42))+1,""),ROW()-1424)),"")</f>
        <v>https://www.comunidad.madrid/transparencia/decreto-del-consejo-gobierno-que-se-establece-estructura-organica-consejeria-familia-juventud-y</v>
      </c>
      <c r="D1437" s="99" t="s">
        <v>103</v>
      </c>
      <c r="E1437" s="79" t="str">
        <f t="shared" si="74"/>
        <v/>
      </c>
      <c r="F1437" s="18"/>
      <c r="G1437" s="18"/>
      <c r="H1437" s="18"/>
      <c r="I1437" s="18"/>
      <c r="J1437" s="18"/>
      <c r="K1437" s="183"/>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Entidades Locales</v>
      </c>
      <c r="C1438" s="85" t="str" cm="1">
        <f t="array" ref="C1438">IFERROR(INDEX('03.Muestra'!$F$8:$F$42,SMALL(IF("Página Web"='03.Muestra'!$D$8:$D$42,ROW('03.Muestra'!$F$8:$F$42)-MIN(ROW('03.Muestra'!$D$8:$D$42))+1,""),ROW()-1424)),"")</f>
        <v>https://www.comunidad.madrid/transparencia/entidades-locales</v>
      </c>
      <c r="D1438" s="99" t="s">
        <v>103</v>
      </c>
      <c r="E1438" s="79" t="str">
        <f t="shared" si="74"/>
        <v/>
      </c>
      <c r="F1438" s="18"/>
      <c r="G1438" s="18"/>
      <c r="H1438" s="18"/>
      <c r="I1438" s="18"/>
      <c r="J1438" s="18"/>
      <c r="K1438" s="183"/>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ref="D1439:D1459" si="75">IF(AND(B1439&lt;&gt;"",C1439&lt;&gt;""),"N/T","")</f>
        <v/>
      </c>
      <c r="E1439" s="79" t="str">
        <f t="shared" si="74"/>
        <v/>
      </c>
      <c r="F1439" s="18"/>
      <c r="G1439" s="18"/>
      <c r="H1439" s="18"/>
      <c r="I1439" s="18"/>
      <c r="J1439" s="18"/>
      <c r="K1439" s="183"/>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3"/>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3"/>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3"/>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3"/>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3"/>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3"/>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3"/>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3"/>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3"/>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3"/>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3"/>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3"/>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3"/>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3"/>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3"/>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3"/>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3"/>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3"/>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3"/>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3"/>
      <c r="L1459" s="18"/>
    </row>
    <row r="1460" spans="1:12" ht="12" customHeight="1">
      <c r="B1460" s="18"/>
      <c r="C1460" s="18"/>
      <c r="D1460" s="79"/>
      <c r="E1460" s="18"/>
      <c r="F1460" s="18"/>
      <c r="G1460" s="18"/>
      <c r="H1460" s="18"/>
      <c r="I1460" s="18"/>
      <c r="J1460" s="18"/>
      <c r="K1460" s="183"/>
      <c r="L1460" s="18"/>
    </row>
    <row r="1461" spans="1:12" ht="12" customHeight="1">
      <c r="B1461" s="18"/>
      <c r="C1461" s="18"/>
      <c r="D1461" s="79"/>
      <c r="E1461" s="83"/>
      <c r="F1461" s="18"/>
      <c r="G1461" s="18"/>
      <c r="H1461" s="18"/>
      <c r="I1461" s="18"/>
      <c r="J1461" s="18"/>
      <c r="K1461" s="183"/>
      <c r="L1461" s="18"/>
    </row>
    <row r="1462" spans="1:12" ht="29.25" customHeight="1">
      <c r="A1462" s="172" t="s">
        <v>98</v>
      </c>
      <c r="B1462" s="23" t="s">
        <v>90</v>
      </c>
      <c r="C1462" s="24" t="s">
        <v>179</v>
      </c>
      <c r="D1462" s="25" t="s">
        <v>100</v>
      </c>
      <c r="E1462" s="93"/>
      <c r="K1462" s="183"/>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https://www.comunidad.madrid/transparencia/</v>
      </c>
      <c r="D1463" s="99" t="s">
        <v>91</v>
      </c>
      <c r="E1463" s="79" t="str">
        <f t="shared" ref="E1463:E1497" si="76">IF(D1463&lt;&gt;"",IF(AND(B1463&lt;&gt;"",C1463&lt;&gt;""),"","ERR"),"")</f>
        <v/>
      </c>
      <c r="F1463" s="86" t="s">
        <v>101</v>
      </c>
      <c r="G1463" s="87" t="s">
        <v>102</v>
      </c>
      <c r="H1463" s="88" t="s">
        <v>103</v>
      </c>
      <c r="I1463" s="89" t="s">
        <v>93</v>
      </c>
      <c r="J1463" s="90" t="s">
        <v>91</v>
      </c>
      <c r="K1463" s="178" t="s">
        <v>97</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Aviso legal</v>
      </c>
      <c r="C1464" s="85" t="str" cm="1">
        <f t="array" ref="C1464">IFERROR(INDEX('03.Muestra'!$F$8:$F$42,SMALL(IF("Página Web"='03.Muestra'!$D$8:$D$42,ROW('03.Muestra'!$F$8:$F$42)-MIN(ROW('03.Muestra'!$D$8:$D$42))+1,""),ROW()-1462)),"")</f>
        <v>https://www.comunidad.madrid/transparencia/aviso-legal</v>
      </c>
      <c r="D1464" s="99" t="s">
        <v>91</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14</v>
      </c>
      <c r="K1464" s="179">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Accesibilidad</v>
      </c>
      <c r="C1465" s="85" t="str" cm="1">
        <f t="array" ref="C1465">IFERROR(INDEX('03.Muestra'!$F$8:$F$42,SMALL(IF("Página Web"='03.Muestra'!$D$8:$D$42,ROW('03.Muestra'!$F$8:$F$42)-MIN(ROW('03.Muestra'!$D$8:$D$42))+1,""),ROW()-1462)),"")</f>
        <v>https://www.comunidad.madrid/transparencia/declaracion-accesibilidad</v>
      </c>
      <c r="D1465" s="99" t="s">
        <v>91</v>
      </c>
      <c r="E1465" s="79" t="str">
        <f t="shared" si="76"/>
        <v/>
      </c>
      <c r="G1465" s="18"/>
      <c r="H1465" s="18"/>
      <c r="I1465" s="18"/>
      <c r="J1465" s="18"/>
      <c r="K1465" s="183"/>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Tranparencia</v>
      </c>
      <c r="C1466" s="85" t="str" cm="1">
        <f t="array" ref="C1466">IFERROR(INDEX('03.Muestra'!$F$8:$F$42,SMALL(IF("Página Web"='03.Muestra'!$D$8:$D$42,ROW('03.Muestra'!$F$8:$F$42)-MIN(ROW('03.Muestra'!$D$8:$D$42))+1,""),ROW()-1462)),"")</f>
        <v>https://www.comunidad.madrid/transparencia/que-es-transparencia</v>
      </c>
      <c r="D1466" s="99" t="s">
        <v>91</v>
      </c>
      <c r="E1466" s="79" t="str">
        <f t="shared" si="76"/>
        <v/>
      </c>
      <c r="G1466" s="18"/>
      <c r="H1466" s="18"/>
      <c r="I1466" s="18"/>
      <c r="J1466" s="18"/>
      <c r="K1466" s="183"/>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Organización</v>
      </c>
      <c r="C1467" s="85" t="str" cm="1">
        <f t="array" ref="C1467">IFERROR(INDEX('03.Muestra'!$F$8:$F$42,SMALL(IF("Página Web"='03.Muestra'!$D$8:$D$42,ROW('03.Muestra'!$F$8:$F$42)-MIN(ROW('03.Muestra'!$D$8:$D$42))+1,""),ROW()-1462)),"")</f>
        <v>https://www.comunidad.madrid/transparencia/organizacion-recursos/organizacion</v>
      </c>
      <c r="D1467" s="99" t="s">
        <v>91</v>
      </c>
      <c r="E1467" s="79" t="str">
        <f t="shared" si="76"/>
        <v/>
      </c>
      <c r="G1467" s="18"/>
      <c r="H1467" s="18"/>
      <c r="I1467" s="18"/>
      <c r="J1467" s="18"/>
      <c r="K1467" s="183"/>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Quejas</v>
      </c>
      <c r="C1468" s="85" t="str" cm="1">
        <f t="array" ref="C1468">IFERROR(INDEX('03.Muestra'!$F$8:$F$42,SMALL(IF("Página Web"='03.Muestra'!$D$8:$D$42,ROW('03.Muestra'!$F$8:$F$42)-MIN(ROW('03.Muestra'!$D$8:$D$42))+1,""),ROW()-1462)),"")</f>
        <v>https://www.comunidad.madrid/transparencia/quejas-y-reclamaciones</v>
      </c>
      <c r="D1468" s="99" t="s">
        <v>91</v>
      </c>
      <c r="E1468" s="79" t="str">
        <f t="shared" si="76"/>
        <v/>
      </c>
      <c r="G1468" s="18"/>
      <c r="H1468" s="18"/>
      <c r="I1468" s="18"/>
      <c r="J1468" s="18"/>
      <c r="K1468" s="183"/>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Contratos</v>
      </c>
      <c r="C1469" s="85" t="str" cm="1">
        <f t="array" ref="C1469">IFERROR(INDEX('03.Muestra'!$F$8:$F$42,SMALL(IF("Página Web"='03.Muestra'!$D$8:$D$42,ROW('03.Muestra'!$F$8:$F$42)-MIN(ROW('03.Muestra'!$D$8:$D$42))+1,""),ROW()-1462)),"")</f>
        <v>https://www.comunidad.madrid/transparencia/contratos</v>
      </c>
      <c r="D1469" s="99" t="s">
        <v>91</v>
      </c>
      <c r="E1469" s="79" t="str">
        <f t="shared" si="76"/>
        <v/>
      </c>
      <c r="F1469" s="18"/>
      <c r="G1469" s="18"/>
      <c r="H1469" s="18"/>
      <c r="I1469" s="18"/>
      <c r="J1469" s="18"/>
      <c r="K1469" s="183"/>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Consulta</v>
      </c>
      <c r="C1470" s="85" t="str" cm="1">
        <f t="array" ref="C1470">IFERROR(INDEX('03.Muestra'!$F$8:$F$42,SMALL(IF("Página Web"='03.Muestra'!$D$8:$D$42,ROW('03.Muestra'!$F$8:$F$42)-MIN(ROW('03.Muestra'!$D$8:$D$42))+1,""),ROW()-1462)),"")</f>
        <v>https://www.comunidad.madrid/transparencia/normativa-planificacion/consulta-publica</v>
      </c>
      <c r="D1470" s="99" t="s">
        <v>91</v>
      </c>
      <c r="E1470" s="79" t="str">
        <f t="shared" si="76"/>
        <v/>
      </c>
      <c r="F1470" s="18"/>
      <c r="G1470" s="18"/>
      <c r="H1470" s="18"/>
      <c r="I1470" s="18"/>
      <c r="J1470" s="18"/>
      <c r="K1470" s="183"/>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Proyecto</v>
      </c>
      <c r="C1471" s="85" t="str" cm="1">
        <f t="array" ref="C1471">IFERROR(INDEX('03.Muestra'!$F$8:$F$42,SMALL(IF("Página Web"='03.Muestra'!$D$8:$D$42,ROW('03.Muestra'!$F$8:$F$42)-MIN(ROW('03.Muestra'!$D$8:$D$42))+1,""),ROW()-1462)),"")</f>
        <v>https://www.comunidad.madrid/transparencia/proyecto-orden-que-se-crea-comision-farmacia-y-productos-sanitarios-cm-y-se-establece-su-composicion</v>
      </c>
      <c r="D1471" s="99" t="s">
        <v>91</v>
      </c>
      <c r="E1471" s="79" t="str">
        <f t="shared" si="76"/>
        <v/>
      </c>
      <c r="F1471" s="18"/>
      <c r="G1471" s="18"/>
      <c r="H1471" s="18"/>
      <c r="I1471" s="18"/>
      <c r="J1471" s="18"/>
      <c r="K1471" s="183"/>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Planes y Programas</v>
      </c>
      <c r="C1472" s="85" t="str" cm="1">
        <f t="array" ref="C1472">IFERROR(INDEX('03.Muestra'!$F$8:$F$42,SMALL(IF("Página Web"='03.Muestra'!$D$8:$D$42,ROW('03.Muestra'!$F$8:$F$42)-MIN(ROW('03.Muestra'!$D$8:$D$42))+1,""),ROW()-1462)),"")</f>
        <v>https://www.comunidad.madrid/transparencia/normativa-planificacion/planes-programas</v>
      </c>
      <c r="D1472" s="99" t="s">
        <v>91</v>
      </c>
      <c r="E1472" s="79" t="str">
        <f t="shared" si="76"/>
        <v/>
      </c>
      <c r="F1472" s="18"/>
      <c r="G1472" s="18"/>
      <c r="H1472" s="18"/>
      <c r="I1472" s="18"/>
      <c r="J1472" s="18"/>
      <c r="K1472" s="183"/>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Estrategia</v>
      </c>
      <c r="C1473" s="85" t="str" cm="1">
        <f t="array" ref="C1473">IFERROR(INDEX('03.Muestra'!$F$8:$F$42,SMALL(IF("Página Web"='03.Muestra'!$D$8:$D$42,ROW('03.Muestra'!$F$8:$F$42)-MIN(ROW('03.Muestra'!$D$8:$D$42))+1,""),ROW()-1462)),"")</f>
        <v>https://www.comunidad.madrid/transparencia/informacion-institucional/planes-programas/estrategia-seguridad-del-paciente-del-servicio-madrileno</v>
      </c>
      <c r="D1473" s="99" t="s">
        <v>91</v>
      </c>
      <c r="E1473" s="79" t="str">
        <f t="shared" si="76"/>
        <v/>
      </c>
      <c r="F1473" s="18"/>
      <c r="G1473" s="18"/>
      <c r="H1473" s="18"/>
      <c r="I1473" s="18"/>
      <c r="J1473" s="18"/>
      <c r="K1473" s="183"/>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Huella</v>
      </c>
      <c r="C1474" s="85" t="str" cm="1">
        <f t="array" ref="C1474">IFERROR(INDEX('03.Muestra'!$F$8:$F$42,SMALL(IF("Página Web"='03.Muestra'!$D$8:$D$42,ROW('03.Muestra'!$F$8:$F$42)-MIN(ROW('03.Muestra'!$D$8:$D$42))+1,""),ROW()-1462)),"")</f>
        <v>https://www.comunidad.madrid/transparencia/normativa-planificacion/huella-normativa</v>
      </c>
      <c r="D1474" s="99" t="s">
        <v>91</v>
      </c>
      <c r="E1474" s="79" t="str">
        <f t="shared" si="76"/>
        <v/>
      </c>
      <c r="F1474" s="18"/>
      <c r="G1474" s="18"/>
      <c r="H1474" s="18"/>
      <c r="I1474" s="18"/>
      <c r="J1474" s="18"/>
      <c r="K1474" s="183"/>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Decreto</v>
      </c>
      <c r="C1475" s="85" t="str" cm="1">
        <f t="array" ref="C1475">IFERROR(INDEX('03.Muestra'!$F$8:$F$42,SMALL(IF("Página Web"='03.Muestra'!$D$8:$D$42,ROW('03.Muestra'!$F$8:$F$42)-MIN(ROW('03.Muestra'!$D$8:$D$42))+1,""),ROW()-1462)),"")</f>
        <v>https://www.comunidad.madrid/transparencia/decreto-del-consejo-gobierno-que-se-establece-estructura-organica-consejeria-familia-juventud-y</v>
      </c>
      <c r="D1475" s="99" t="s">
        <v>91</v>
      </c>
      <c r="E1475" s="79" t="str">
        <f t="shared" si="76"/>
        <v/>
      </c>
      <c r="F1475" s="18"/>
      <c r="G1475" s="18"/>
      <c r="H1475" s="18"/>
      <c r="I1475" s="18"/>
      <c r="J1475" s="18"/>
      <c r="K1475" s="183"/>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Entidades Locales</v>
      </c>
      <c r="C1476" s="85" t="str" cm="1">
        <f t="array" ref="C1476">IFERROR(INDEX('03.Muestra'!$F$8:$F$42,SMALL(IF("Página Web"='03.Muestra'!$D$8:$D$42,ROW('03.Muestra'!$F$8:$F$42)-MIN(ROW('03.Muestra'!$D$8:$D$42))+1,""),ROW()-1462)),"")</f>
        <v>https://www.comunidad.madrid/transparencia/entidades-locales</v>
      </c>
      <c r="D1476" s="99" t="s">
        <v>91</v>
      </c>
      <c r="E1476" s="79" t="str">
        <f t="shared" si="76"/>
        <v/>
      </c>
      <c r="F1476" s="18"/>
      <c r="G1476" s="18"/>
      <c r="H1476" s="18"/>
      <c r="I1476" s="18"/>
      <c r="J1476" s="18"/>
      <c r="K1476" s="183"/>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ref="D1477:D1497" si="77">IF(AND(B1477&lt;&gt;"",C1477&lt;&gt;""),"N/T","")</f>
        <v/>
      </c>
      <c r="E1477" s="79" t="str">
        <f t="shared" si="76"/>
        <v/>
      </c>
      <c r="F1477" s="18"/>
      <c r="G1477" s="18"/>
      <c r="H1477" s="18"/>
      <c r="I1477" s="18"/>
      <c r="J1477" s="18"/>
      <c r="K1477" s="183"/>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3"/>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3"/>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3"/>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3"/>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3"/>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3"/>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3"/>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3"/>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3"/>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3"/>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3"/>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3"/>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3"/>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3"/>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3"/>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3"/>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3"/>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3"/>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3"/>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3"/>
      <c r="L1497" s="18"/>
    </row>
    <row r="1498" spans="1:12" ht="12" customHeight="1">
      <c r="B1498" s="18"/>
      <c r="C1498" s="18"/>
      <c r="D1498" s="79"/>
      <c r="E1498" s="18"/>
      <c r="F1498" s="18"/>
      <c r="G1498" s="18"/>
      <c r="H1498" s="18"/>
      <c r="I1498" s="18"/>
      <c r="J1498" s="18"/>
      <c r="K1498" s="183"/>
      <c r="L1498" s="18"/>
    </row>
    <row r="1499" spans="1:12" ht="12" customHeight="1">
      <c r="B1499" s="18"/>
      <c r="C1499" s="18"/>
      <c r="D1499" s="79"/>
      <c r="E1499" s="83"/>
      <c r="F1499" s="18"/>
      <c r="G1499" s="18"/>
      <c r="H1499" s="18"/>
      <c r="I1499" s="18"/>
      <c r="J1499" s="18"/>
      <c r="K1499" s="183"/>
      <c r="L1499" s="18"/>
    </row>
    <row r="1500" spans="1:12" ht="29.25" customHeight="1">
      <c r="A1500" s="172" t="s">
        <v>98</v>
      </c>
      <c r="B1500" s="23" t="s">
        <v>90</v>
      </c>
      <c r="C1500" s="24" t="s">
        <v>180</v>
      </c>
      <c r="D1500" s="25" t="s">
        <v>100</v>
      </c>
      <c r="E1500" s="93"/>
      <c r="K1500" s="183"/>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https://www.comunidad.madrid/transparencia/</v>
      </c>
      <c r="D1501" s="99" t="s">
        <v>91</v>
      </c>
      <c r="E1501" s="79" t="str">
        <f t="shared" ref="E1501:E1535" si="78">IF(D1501&lt;&gt;"",IF(AND(B1501&lt;&gt;"",C1501&lt;&gt;""),"","ERR"),"")</f>
        <v/>
      </c>
      <c r="F1501" s="86" t="s">
        <v>101</v>
      </c>
      <c r="G1501" s="87" t="s">
        <v>102</v>
      </c>
      <c r="H1501" s="88" t="s">
        <v>103</v>
      </c>
      <c r="I1501" s="89" t="s">
        <v>93</v>
      </c>
      <c r="J1501" s="90" t="s">
        <v>91</v>
      </c>
      <c r="K1501" s="178" t="s">
        <v>97</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Aviso legal</v>
      </c>
      <c r="C1502" s="85" t="str" cm="1">
        <f t="array" ref="C1502">IFERROR(INDEX('03.Muestra'!$F$8:$F$42,SMALL(IF("Página Web"='03.Muestra'!$D$8:$D$42,ROW('03.Muestra'!$F$8:$F$42)-MIN(ROW('03.Muestra'!$D$8:$D$42))+1,""),ROW()-1500)),"")</f>
        <v>https://www.comunidad.madrid/transparencia/aviso-legal</v>
      </c>
      <c r="D1502" s="99" t="s">
        <v>91</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14</v>
      </c>
      <c r="K1502" s="179">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Accesibilidad</v>
      </c>
      <c r="C1503" s="85" t="str" cm="1">
        <f t="array" ref="C1503">IFERROR(INDEX('03.Muestra'!$F$8:$F$42,SMALL(IF("Página Web"='03.Muestra'!$D$8:$D$42,ROW('03.Muestra'!$F$8:$F$42)-MIN(ROW('03.Muestra'!$D$8:$D$42))+1,""),ROW()-1500)),"")</f>
        <v>https://www.comunidad.madrid/transparencia/declaracion-accesibilidad</v>
      </c>
      <c r="D1503" s="99" t="s">
        <v>91</v>
      </c>
      <c r="E1503" s="79" t="str">
        <f t="shared" si="78"/>
        <v/>
      </c>
      <c r="G1503" s="18"/>
      <c r="H1503" s="18"/>
      <c r="I1503" s="18"/>
      <c r="J1503" s="18"/>
      <c r="K1503" s="183"/>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Tranparencia</v>
      </c>
      <c r="C1504" s="85" t="str" cm="1">
        <f t="array" ref="C1504">IFERROR(INDEX('03.Muestra'!$F$8:$F$42,SMALL(IF("Página Web"='03.Muestra'!$D$8:$D$42,ROW('03.Muestra'!$F$8:$F$42)-MIN(ROW('03.Muestra'!$D$8:$D$42))+1,""),ROW()-1500)),"")</f>
        <v>https://www.comunidad.madrid/transparencia/que-es-transparencia</v>
      </c>
      <c r="D1504" s="99" t="s">
        <v>91</v>
      </c>
      <c r="E1504" s="79" t="str">
        <f t="shared" si="78"/>
        <v/>
      </c>
      <c r="G1504" s="18"/>
      <c r="H1504" s="18"/>
      <c r="I1504" s="18"/>
      <c r="J1504" s="18"/>
      <c r="K1504" s="183"/>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Organización</v>
      </c>
      <c r="C1505" s="85" t="str" cm="1">
        <f t="array" ref="C1505">IFERROR(INDEX('03.Muestra'!$F$8:$F$42,SMALL(IF("Página Web"='03.Muestra'!$D$8:$D$42,ROW('03.Muestra'!$F$8:$F$42)-MIN(ROW('03.Muestra'!$D$8:$D$42))+1,""),ROW()-1500)),"")</f>
        <v>https://www.comunidad.madrid/transparencia/organizacion-recursos/organizacion</v>
      </c>
      <c r="D1505" s="99" t="s">
        <v>91</v>
      </c>
      <c r="E1505" s="79" t="str">
        <f t="shared" si="78"/>
        <v/>
      </c>
      <c r="G1505" s="18"/>
      <c r="H1505" s="18"/>
      <c r="I1505" s="18"/>
      <c r="J1505" s="18"/>
      <c r="K1505" s="183"/>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Quejas</v>
      </c>
      <c r="C1506" s="85" t="str" cm="1">
        <f t="array" ref="C1506">IFERROR(INDEX('03.Muestra'!$F$8:$F$42,SMALL(IF("Página Web"='03.Muestra'!$D$8:$D$42,ROW('03.Muestra'!$F$8:$F$42)-MIN(ROW('03.Muestra'!$D$8:$D$42))+1,""),ROW()-1500)),"")</f>
        <v>https://www.comunidad.madrid/transparencia/quejas-y-reclamaciones</v>
      </c>
      <c r="D1506" s="99" t="s">
        <v>91</v>
      </c>
      <c r="E1506" s="79" t="str">
        <f t="shared" si="78"/>
        <v/>
      </c>
      <c r="G1506" s="18"/>
      <c r="H1506" s="18"/>
      <c r="I1506" s="18"/>
      <c r="J1506" s="18"/>
      <c r="K1506" s="183"/>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Contratos</v>
      </c>
      <c r="C1507" s="85" t="str" cm="1">
        <f t="array" ref="C1507">IFERROR(INDEX('03.Muestra'!$F$8:$F$42,SMALL(IF("Página Web"='03.Muestra'!$D$8:$D$42,ROW('03.Muestra'!$F$8:$F$42)-MIN(ROW('03.Muestra'!$D$8:$D$42))+1,""),ROW()-1500)),"")</f>
        <v>https://www.comunidad.madrid/transparencia/contratos</v>
      </c>
      <c r="D1507" s="99" t="s">
        <v>91</v>
      </c>
      <c r="E1507" s="79" t="str">
        <f t="shared" si="78"/>
        <v/>
      </c>
      <c r="F1507" s="18"/>
      <c r="G1507" s="18"/>
      <c r="H1507" s="18"/>
      <c r="I1507" s="18"/>
      <c r="J1507" s="18"/>
      <c r="K1507" s="183"/>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Consulta</v>
      </c>
      <c r="C1508" s="85" t="str" cm="1">
        <f t="array" ref="C1508">IFERROR(INDEX('03.Muestra'!$F$8:$F$42,SMALL(IF("Página Web"='03.Muestra'!$D$8:$D$42,ROW('03.Muestra'!$F$8:$F$42)-MIN(ROW('03.Muestra'!$D$8:$D$42))+1,""),ROW()-1500)),"")</f>
        <v>https://www.comunidad.madrid/transparencia/normativa-planificacion/consulta-publica</v>
      </c>
      <c r="D1508" s="99" t="s">
        <v>91</v>
      </c>
      <c r="E1508" s="79" t="str">
        <f t="shared" si="78"/>
        <v/>
      </c>
      <c r="F1508" s="18"/>
      <c r="G1508" s="18"/>
      <c r="H1508" s="18"/>
      <c r="I1508" s="18"/>
      <c r="J1508" s="18"/>
      <c r="K1508" s="183"/>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Proyecto</v>
      </c>
      <c r="C1509" s="85" t="str" cm="1">
        <f t="array" ref="C1509">IFERROR(INDEX('03.Muestra'!$F$8:$F$42,SMALL(IF("Página Web"='03.Muestra'!$D$8:$D$42,ROW('03.Muestra'!$F$8:$F$42)-MIN(ROW('03.Muestra'!$D$8:$D$42))+1,""),ROW()-1500)),"")</f>
        <v>https://www.comunidad.madrid/transparencia/proyecto-orden-que-se-crea-comision-farmacia-y-productos-sanitarios-cm-y-se-establece-su-composicion</v>
      </c>
      <c r="D1509" s="99" t="s">
        <v>91</v>
      </c>
      <c r="E1509" s="79" t="str">
        <f t="shared" si="78"/>
        <v/>
      </c>
      <c r="F1509" s="18"/>
      <c r="G1509" s="18"/>
      <c r="H1509" s="18"/>
      <c r="I1509" s="18"/>
      <c r="J1509" s="18"/>
      <c r="K1509" s="183"/>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Planes y Programas</v>
      </c>
      <c r="C1510" s="85" t="str" cm="1">
        <f t="array" ref="C1510">IFERROR(INDEX('03.Muestra'!$F$8:$F$42,SMALL(IF("Página Web"='03.Muestra'!$D$8:$D$42,ROW('03.Muestra'!$F$8:$F$42)-MIN(ROW('03.Muestra'!$D$8:$D$42))+1,""),ROW()-1500)),"")</f>
        <v>https://www.comunidad.madrid/transparencia/normativa-planificacion/planes-programas</v>
      </c>
      <c r="D1510" s="99" t="s">
        <v>91</v>
      </c>
      <c r="E1510" s="79" t="str">
        <f t="shared" si="78"/>
        <v/>
      </c>
      <c r="F1510" s="18"/>
      <c r="G1510" s="18"/>
      <c r="H1510" s="18"/>
      <c r="I1510" s="18"/>
      <c r="J1510" s="18"/>
      <c r="K1510" s="183"/>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Estrategia</v>
      </c>
      <c r="C1511" s="85" t="str" cm="1">
        <f t="array" ref="C1511">IFERROR(INDEX('03.Muestra'!$F$8:$F$42,SMALL(IF("Página Web"='03.Muestra'!$D$8:$D$42,ROW('03.Muestra'!$F$8:$F$42)-MIN(ROW('03.Muestra'!$D$8:$D$42))+1,""),ROW()-1500)),"")</f>
        <v>https://www.comunidad.madrid/transparencia/informacion-institucional/planes-programas/estrategia-seguridad-del-paciente-del-servicio-madrileno</v>
      </c>
      <c r="D1511" s="99" t="s">
        <v>91</v>
      </c>
      <c r="E1511" s="79" t="str">
        <f t="shared" si="78"/>
        <v/>
      </c>
      <c r="F1511" s="18"/>
      <c r="G1511" s="18"/>
      <c r="H1511" s="18"/>
      <c r="I1511" s="18"/>
      <c r="J1511" s="18"/>
      <c r="K1511" s="183"/>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Huella</v>
      </c>
      <c r="C1512" s="85" t="str" cm="1">
        <f t="array" ref="C1512">IFERROR(INDEX('03.Muestra'!$F$8:$F$42,SMALL(IF("Página Web"='03.Muestra'!$D$8:$D$42,ROW('03.Muestra'!$F$8:$F$42)-MIN(ROW('03.Muestra'!$D$8:$D$42))+1,""),ROW()-1500)),"")</f>
        <v>https://www.comunidad.madrid/transparencia/normativa-planificacion/huella-normativa</v>
      </c>
      <c r="D1512" s="99" t="s">
        <v>91</v>
      </c>
      <c r="E1512" s="79" t="str">
        <f t="shared" si="78"/>
        <v/>
      </c>
      <c r="F1512" s="18"/>
      <c r="G1512" s="18"/>
      <c r="H1512" s="18"/>
      <c r="I1512" s="18"/>
      <c r="J1512" s="18"/>
      <c r="K1512" s="183"/>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Decreto</v>
      </c>
      <c r="C1513" s="85" t="str" cm="1">
        <f t="array" ref="C1513">IFERROR(INDEX('03.Muestra'!$F$8:$F$42,SMALL(IF("Página Web"='03.Muestra'!$D$8:$D$42,ROW('03.Muestra'!$F$8:$F$42)-MIN(ROW('03.Muestra'!$D$8:$D$42))+1,""),ROW()-1500)),"")</f>
        <v>https://www.comunidad.madrid/transparencia/decreto-del-consejo-gobierno-que-se-establece-estructura-organica-consejeria-familia-juventud-y</v>
      </c>
      <c r="D1513" s="99" t="s">
        <v>91</v>
      </c>
      <c r="E1513" s="79" t="str">
        <f t="shared" si="78"/>
        <v/>
      </c>
      <c r="F1513" s="18"/>
      <c r="G1513" s="18"/>
      <c r="H1513" s="18"/>
      <c r="I1513" s="18"/>
      <c r="J1513" s="18"/>
      <c r="K1513" s="183"/>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Entidades Locales</v>
      </c>
      <c r="C1514" s="85" t="str" cm="1">
        <f t="array" ref="C1514">IFERROR(INDEX('03.Muestra'!$F$8:$F$42,SMALL(IF("Página Web"='03.Muestra'!$D$8:$D$42,ROW('03.Muestra'!$F$8:$F$42)-MIN(ROW('03.Muestra'!$D$8:$D$42))+1,""),ROW()-1500)),"")</f>
        <v>https://www.comunidad.madrid/transparencia/entidades-locales</v>
      </c>
      <c r="D1514" s="99" t="s">
        <v>91</v>
      </c>
      <c r="E1514" s="79" t="str">
        <f t="shared" si="78"/>
        <v/>
      </c>
      <c r="F1514" s="18"/>
      <c r="G1514" s="18"/>
      <c r="H1514" s="18"/>
      <c r="I1514" s="18"/>
      <c r="J1514" s="18"/>
      <c r="K1514" s="183"/>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ref="D1515:D1535" si="79">IF(AND(B1515&lt;&gt;"",C1515&lt;&gt;""),"N/T","")</f>
        <v/>
      </c>
      <c r="E1515" s="79" t="str">
        <f t="shared" si="78"/>
        <v/>
      </c>
      <c r="F1515" s="18"/>
      <c r="G1515" s="18"/>
      <c r="H1515" s="18"/>
      <c r="I1515" s="18"/>
      <c r="J1515" s="18"/>
      <c r="K1515" s="183"/>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3"/>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3"/>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3"/>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3"/>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3"/>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3"/>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3"/>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3"/>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3"/>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3"/>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3"/>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3"/>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3"/>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3"/>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3"/>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3"/>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3"/>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3"/>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3"/>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3"/>
      <c r="L1535" s="18"/>
    </row>
    <row r="1536" spans="1:12" ht="12" customHeight="1">
      <c r="B1536" s="18"/>
      <c r="C1536" s="18"/>
      <c r="D1536" s="18"/>
      <c r="E1536" s="18"/>
      <c r="F1536" s="18"/>
      <c r="G1536" s="18"/>
      <c r="H1536" s="18"/>
      <c r="I1536" s="18"/>
      <c r="J1536" s="18"/>
      <c r="K1536" s="183"/>
      <c r="L1536" s="18"/>
    </row>
    <row r="1537" spans="1:12" ht="12" customHeight="1">
      <c r="B1537" s="18"/>
      <c r="C1537" s="18"/>
      <c r="D1537" s="79"/>
      <c r="E1537" s="83"/>
      <c r="F1537" s="18"/>
      <c r="G1537" s="18"/>
      <c r="H1537" s="18"/>
      <c r="I1537" s="18"/>
      <c r="J1537" s="18"/>
      <c r="K1537" s="183"/>
      <c r="L1537" s="18"/>
    </row>
    <row r="1538" spans="1:12" ht="29.25" customHeight="1">
      <c r="A1538" s="172" t="s">
        <v>98</v>
      </c>
      <c r="B1538" s="23" t="s">
        <v>90</v>
      </c>
      <c r="C1538" s="24" t="s">
        <v>181</v>
      </c>
      <c r="D1538" s="25" t="s">
        <v>100</v>
      </c>
      <c r="E1538" s="93"/>
      <c r="K1538" s="183"/>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https://www.comunidad.madrid/transparencia/</v>
      </c>
      <c r="D1539" s="99" t="s">
        <v>91</v>
      </c>
      <c r="E1539" s="79" t="str">
        <f t="shared" ref="E1539:E1573" si="80">IF(D1539&lt;&gt;"",IF(AND(B1539&lt;&gt;"",C1539&lt;&gt;""),"","ERR"),"")</f>
        <v/>
      </c>
      <c r="F1539" s="86" t="s">
        <v>101</v>
      </c>
      <c r="G1539" s="87" t="s">
        <v>102</v>
      </c>
      <c r="H1539" s="88" t="s">
        <v>103</v>
      </c>
      <c r="I1539" s="89" t="s">
        <v>93</v>
      </c>
      <c r="J1539" s="90" t="s">
        <v>91</v>
      </c>
      <c r="K1539" s="178" t="s">
        <v>97</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Aviso legal</v>
      </c>
      <c r="C1540" s="85" t="str" cm="1">
        <f t="array" ref="C1540">IFERROR(INDEX('03.Muestra'!$F$8:$F$42,SMALL(IF("Página Web"='03.Muestra'!$D$8:$D$42,ROW('03.Muestra'!$F$8:$F$42)-MIN(ROW('03.Muestra'!$D$8:$D$42))+1,""),ROW()-1538)),"")</f>
        <v>https://www.comunidad.madrid/transparencia/aviso-legal</v>
      </c>
      <c r="D1540" s="99" t="s">
        <v>91</v>
      </c>
      <c r="E1540" s="79" t="str">
        <f>IF(D1540&lt;&gt;"",IF(AND(B1540&lt;&gt;"",C1540&lt;&gt;""),"","ERR"),"")</f>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14</v>
      </c>
      <c r="K1540" s="179">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Accesibilidad</v>
      </c>
      <c r="C1541" s="85" t="str" cm="1">
        <f t="array" ref="C1541">IFERROR(INDEX('03.Muestra'!$F$8:$F$42,SMALL(IF("Página Web"='03.Muestra'!$D$8:$D$42,ROW('03.Muestra'!$F$8:$F$42)-MIN(ROW('03.Muestra'!$D$8:$D$42))+1,""),ROW()-1538)),"")</f>
        <v>https://www.comunidad.madrid/transparencia/declaracion-accesibilidad</v>
      </c>
      <c r="D1541" s="99" t="s">
        <v>91</v>
      </c>
      <c r="E1541" s="79" t="str">
        <f t="shared" si="80"/>
        <v/>
      </c>
      <c r="G1541" s="18"/>
      <c r="H1541" s="18"/>
      <c r="I1541" s="18"/>
      <c r="J1541" s="18"/>
      <c r="K1541" s="183"/>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Tranparencia</v>
      </c>
      <c r="C1542" s="85" t="str" cm="1">
        <f t="array" ref="C1542">IFERROR(INDEX('03.Muestra'!$F$8:$F$42,SMALL(IF("Página Web"='03.Muestra'!$D$8:$D$42,ROW('03.Muestra'!$F$8:$F$42)-MIN(ROW('03.Muestra'!$D$8:$D$42))+1,""),ROW()-1538)),"")</f>
        <v>https://www.comunidad.madrid/transparencia/que-es-transparencia</v>
      </c>
      <c r="D1542" s="99" t="s">
        <v>91</v>
      </c>
      <c r="E1542" s="79" t="str">
        <f>IF(D1542&lt;&gt;"",IF(AND(B1542&lt;&gt;"",C1542&lt;&gt;""),"","ERR"),"")</f>
        <v/>
      </c>
      <c r="G1542" s="18"/>
      <c r="H1542" s="18"/>
      <c r="I1542" s="18"/>
      <c r="J1542" s="18"/>
      <c r="K1542" s="183"/>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Organización</v>
      </c>
      <c r="C1543" s="85" t="str" cm="1">
        <f t="array" ref="C1543">IFERROR(INDEX('03.Muestra'!$F$8:$F$42,SMALL(IF("Página Web"='03.Muestra'!$D$8:$D$42,ROW('03.Muestra'!$F$8:$F$42)-MIN(ROW('03.Muestra'!$D$8:$D$42))+1,""),ROW()-1538)),"")</f>
        <v>https://www.comunidad.madrid/transparencia/organizacion-recursos/organizacion</v>
      </c>
      <c r="D1543" s="99" t="s">
        <v>91</v>
      </c>
      <c r="E1543" s="79" t="str">
        <f t="shared" si="80"/>
        <v/>
      </c>
      <c r="G1543" s="18"/>
      <c r="H1543" s="18"/>
      <c r="I1543" s="18"/>
      <c r="J1543" s="18"/>
      <c r="K1543" s="183"/>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Quejas</v>
      </c>
      <c r="C1544" s="85" t="str" cm="1">
        <f t="array" ref="C1544">IFERROR(INDEX('03.Muestra'!$F$8:$F$42,SMALL(IF("Página Web"='03.Muestra'!$D$8:$D$42,ROW('03.Muestra'!$F$8:$F$42)-MIN(ROW('03.Muestra'!$D$8:$D$42))+1,""),ROW()-1538)),"")</f>
        <v>https://www.comunidad.madrid/transparencia/quejas-y-reclamaciones</v>
      </c>
      <c r="D1544" s="99" t="s">
        <v>91</v>
      </c>
      <c r="E1544" s="79" t="str">
        <f t="shared" si="80"/>
        <v/>
      </c>
      <c r="G1544" s="18"/>
      <c r="H1544" s="18"/>
      <c r="I1544" s="18"/>
      <c r="J1544" s="18"/>
      <c r="K1544" s="183"/>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Contratos</v>
      </c>
      <c r="C1545" s="85" t="str" cm="1">
        <f t="array" ref="C1545">IFERROR(INDEX('03.Muestra'!$F$8:$F$42,SMALL(IF("Página Web"='03.Muestra'!$D$8:$D$42,ROW('03.Muestra'!$F$8:$F$42)-MIN(ROW('03.Muestra'!$D$8:$D$42))+1,""),ROW()-1538)),"")</f>
        <v>https://www.comunidad.madrid/transparencia/contratos</v>
      </c>
      <c r="D1545" s="99" t="s">
        <v>91</v>
      </c>
      <c r="E1545" s="79" t="str">
        <f t="shared" si="80"/>
        <v/>
      </c>
      <c r="F1545" s="18"/>
      <c r="G1545" s="18"/>
      <c r="H1545" s="18"/>
      <c r="I1545" s="18"/>
      <c r="J1545" s="18"/>
      <c r="K1545" s="183"/>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Consulta</v>
      </c>
      <c r="C1546" s="85" t="str" cm="1">
        <f t="array" ref="C1546">IFERROR(INDEX('03.Muestra'!$F$8:$F$42,SMALL(IF("Página Web"='03.Muestra'!$D$8:$D$42,ROW('03.Muestra'!$F$8:$F$42)-MIN(ROW('03.Muestra'!$D$8:$D$42))+1,""),ROW()-1538)),"")</f>
        <v>https://www.comunidad.madrid/transparencia/normativa-planificacion/consulta-publica</v>
      </c>
      <c r="D1546" s="99" t="s">
        <v>91</v>
      </c>
      <c r="E1546" s="79" t="str">
        <f t="shared" si="80"/>
        <v/>
      </c>
      <c r="F1546" s="18"/>
      <c r="G1546" s="18"/>
      <c r="H1546" s="18"/>
      <c r="I1546" s="18"/>
      <c r="J1546" s="18"/>
      <c r="K1546" s="183"/>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Proyecto</v>
      </c>
      <c r="C1547" s="85" t="str" cm="1">
        <f t="array" ref="C1547">IFERROR(INDEX('03.Muestra'!$F$8:$F$42,SMALL(IF("Página Web"='03.Muestra'!$D$8:$D$42,ROW('03.Muestra'!$F$8:$F$42)-MIN(ROW('03.Muestra'!$D$8:$D$42))+1,""),ROW()-1538)),"")</f>
        <v>https://www.comunidad.madrid/transparencia/proyecto-orden-que-se-crea-comision-farmacia-y-productos-sanitarios-cm-y-se-establece-su-composicion</v>
      </c>
      <c r="D1547" s="99" t="s">
        <v>91</v>
      </c>
      <c r="E1547" s="79" t="str">
        <f t="shared" si="80"/>
        <v/>
      </c>
      <c r="F1547" s="18"/>
      <c r="G1547" s="18"/>
      <c r="H1547" s="18"/>
      <c r="I1547" s="18"/>
      <c r="J1547" s="18"/>
      <c r="K1547" s="183"/>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Planes y Programas</v>
      </c>
      <c r="C1548" s="85" t="str" cm="1">
        <f t="array" ref="C1548">IFERROR(INDEX('03.Muestra'!$F$8:$F$42,SMALL(IF("Página Web"='03.Muestra'!$D$8:$D$42,ROW('03.Muestra'!$F$8:$F$42)-MIN(ROW('03.Muestra'!$D$8:$D$42))+1,""),ROW()-1538)),"")</f>
        <v>https://www.comunidad.madrid/transparencia/normativa-planificacion/planes-programas</v>
      </c>
      <c r="D1548" s="99" t="s">
        <v>91</v>
      </c>
      <c r="E1548" s="79" t="str">
        <f t="shared" si="80"/>
        <v/>
      </c>
      <c r="F1548" s="18"/>
      <c r="G1548" s="18"/>
      <c r="H1548" s="18"/>
      <c r="I1548" s="18"/>
      <c r="J1548" s="18"/>
      <c r="K1548" s="183"/>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Estrategia</v>
      </c>
      <c r="C1549" s="85" t="str" cm="1">
        <f t="array" ref="C1549">IFERROR(INDEX('03.Muestra'!$F$8:$F$42,SMALL(IF("Página Web"='03.Muestra'!$D$8:$D$42,ROW('03.Muestra'!$F$8:$F$42)-MIN(ROW('03.Muestra'!$D$8:$D$42))+1,""),ROW()-1538)),"")</f>
        <v>https://www.comunidad.madrid/transparencia/informacion-institucional/planes-programas/estrategia-seguridad-del-paciente-del-servicio-madrileno</v>
      </c>
      <c r="D1549" s="99" t="s">
        <v>91</v>
      </c>
      <c r="E1549" s="79" t="str">
        <f t="shared" si="80"/>
        <v/>
      </c>
      <c r="F1549" s="18"/>
      <c r="G1549" s="18"/>
      <c r="H1549" s="18"/>
      <c r="I1549" s="18"/>
      <c r="J1549" s="18"/>
      <c r="K1549" s="183"/>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Huella</v>
      </c>
      <c r="C1550" s="85" t="str" cm="1">
        <f t="array" ref="C1550">IFERROR(INDEX('03.Muestra'!$F$8:$F$42,SMALL(IF("Página Web"='03.Muestra'!$D$8:$D$42,ROW('03.Muestra'!$F$8:$F$42)-MIN(ROW('03.Muestra'!$D$8:$D$42))+1,""),ROW()-1538)),"")</f>
        <v>https://www.comunidad.madrid/transparencia/normativa-planificacion/huella-normativa</v>
      </c>
      <c r="D1550" s="99" t="s">
        <v>91</v>
      </c>
      <c r="E1550" s="79" t="str">
        <f t="shared" si="80"/>
        <v/>
      </c>
      <c r="F1550" s="18"/>
      <c r="G1550" s="18"/>
      <c r="H1550" s="18"/>
      <c r="I1550" s="18"/>
      <c r="J1550" s="18"/>
      <c r="K1550" s="183"/>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Decreto</v>
      </c>
      <c r="C1551" s="85" t="str" cm="1">
        <f t="array" ref="C1551">IFERROR(INDEX('03.Muestra'!$F$8:$F$42,SMALL(IF("Página Web"='03.Muestra'!$D$8:$D$42,ROW('03.Muestra'!$F$8:$F$42)-MIN(ROW('03.Muestra'!$D$8:$D$42))+1,""),ROW()-1538)),"")</f>
        <v>https://www.comunidad.madrid/transparencia/decreto-del-consejo-gobierno-que-se-establece-estructura-organica-consejeria-familia-juventud-y</v>
      </c>
      <c r="D1551" s="99" t="s">
        <v>91</v>
      </c>
      <c r="E1551" s="79" t="str">
        <f t="shared" si="80"/>
        <v/>
      </c>
      <c r="F1551" s="18"/>
      <c r="G1551" s="18"/>
      <c r="H1551" s="18"/>
      <c r="I1551" s="18"/>
      <c r="J1551" s="18"/>
      <c r="K1551" s="183"/>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Entidades Locales</v>
      </c>
      <c r="C1552" s="85" t="str" cm="1">
        <f t="array" ref="C1552">IFERROR(INDEX('03.Muestra'!$F$8:$F$42,SMALL(IF("Página Web"='03.Muestra'!$D$8:$D$42,ROW('03.Muestra'!$F$8:$F$42)-MIN(ROW('03.Muestra'!$D$8:$D$42))+1,""),ROW()-1538)),"")</f>
        <v>https://www.comunidad.madrid/transparencia/entidades-locales</v>
      </c>
      <c r="D1552" s="99" t="s">
        <v>91</v>
      </c>
      <c r="E1552" s="79" t="str">
        <f t="shared" si="80"/>
        <v/>
      </c>
      <c r="F1552" s="18"/>
      <c r="G1552" s="18"/>
      <c r="H1552" s="18"/>
      <c r="I1552" s="18"/>
      <c r="J1552" s="18"/>
      <c r="K1552" s="183"/>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ref="D1553:D1573" si="81">IF(AND(B1553&lt;&gt;"",C1553&lt;&gt;""),"N/T","")</f>
        <v/>
      </c>
      <c r="E1553" s="79" t="str">
        <f t="shared" si="80"/>
        <v/>
      </c>
      <c r="F1553" s="18"/>
      <c r="G1553" s="18"/>
      <c r="H1553" s="18"/>
      <c r="I1553" s="18"/>
      <c r="J1553" s="18"/>
      <c r="K1553" s="183"/>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3"/>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3"/>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3"/>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3"/>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3"/>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3"/>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3"/>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3"/>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3"/>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3"/>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3"/>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3"/>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3"/>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3"/>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3"/>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3"/>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3"/>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3"/>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3"/>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3"/>
      <c r="L1573" s="18"/>
    </row>
    <row r="1574" spans="1:12" ht="12" customHeight="1">
      <c r="B1574" s="18"/>
      <c r="C1574" s="18"/>
      <c r="D1574" s="79"/>
      <c r="E1574" s="18"/>
      <c r="F1574" s="18"/>
      <c r="G1574" s="18"/>
      <c r="H1574" s="18"/>
      <c r="I1574" s="18"/>
      <c r="J1574" s="18"/>
      <c r="K1574" s="183"/>
      <c r="L1574" s="18"/>
    </row>
    <row r="1575" spans="1:12" ht="12" customHeight="1">
      <c r="B1575" s="18"/>
      <c r="C1575" s="18"/>
      <c r="D1575" s="79"/>
      <c r="E1575" s="83"/>
      <c r="F1575" s="18"/>
      <c r="G1575" s="18"/>
      <c r="H1575" s="18"/>
      <c r="I1575" s="18"/>
      <c r="J1575" s="18"/>
      <c r="K1575" s="183"/>
      <c r="L1575" s="18"/>
    </row>
    <row r="1576" spans="1:12" ht="29.25" customHeight="1">
      <c r="A1576" s="172" t="s">
        <v>98</v>
      </c>
      <c r="B1576" s="23" t="s">
        <v>90</v>
      </c>
      <c r="C1576" s="24" t="s">
        <v>182</v>
      </c>
      <c r="D1576" s="25" t="s">
        <v>100</v>
      </c>
      <c r="E1576" s="93"/>
      <c r="K1576" s="183"/>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https://www.comunidad.madrid/transparencia/</v>
      </c>
      <c r="D1577" s="99" t="s">
        <v>91</v>
      </c>
      <c r="E1577" s="79" t="str">
        <f t="shared" ref="E1577:E1611" si="82">IF(D1577&lt;&gt;"",IF(AND(B1577&lt;&gt;"",C1577&lt;&gt;""),"","ERR"),"")</f>
        <v/>
      </c>
      <c r="F1577" s="86" t="s">
        <v>101</v>
      </c>
      <c r="G1577" s="87" t="s">
        <v>102</v>
      </c>
      <c r="H1577" s="88" t="s">
        <v>103</v>
      </c>
      <c r="I1577" s="89" t="s">
        <v>93</v>
      </c>
      <c r="J1577" s="90" t="s">
        <v>91</v>
      </c>
      <c r="K1577" s="178" t="s">
        <v>97</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Aviso legal</v>
      </c>
      <c r="C1578" s="85" t="str" cm="1">
        <f t="array" ref="C1578">IFERROR(INDEX('03.Muestra'!$F$8:$F$42,SMALL(IF("Página Web"='03.Muestra'!$D$8:$D$42,ROW('03.Muestra'!$F$8:$F$42)-MIN(ROW('03.Muestra'!$D$8:$D$42))+1,""),ROW()-1576)),"")</f>
        <v>https://www.comunidad.madrid/transparencia/aviso-legal</v>
      </c>
      <c r="D1578" s="99" t="s">
        <v>91</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14</v>
      </c>
      <c r="K1578" s="179">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Accesibilidad</v>
      </c>
      <c r="C1579" s="85" t="str" cm="1">
        <f t="array" ref="C1579">IFERROR(INDEX('03.Muestra'!$F$8:$F$42,SMALL(IF("Página Web"='03.Muestra'!$D$8:$D$42,ROW('03.Muestra'!$F$8:$F$42)-MIN(ROW('03.Muestra'!$D$8:$D$42))+1,""),ROW()-1576)),"")</f>
        <v>https://www.comunidad.madrid/transparencia/declaracion-accesibilidad</v>
      </c>
      <c r="D1579" s="99" t="s">
        <v>91</v>
      </c>
      <c r="E1579" s="79" t="str">
        <f t="shared" si="82"/>
        <v/>
      </c>
      <c r="G1579" s="18"/>
      <c r="H1579" s="18"/>
      <c r="I1579" s="18"/>
      <c r="J1579" s="18"/>
      <c r="K1579" s="183"/>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Tranparencia</v>
      </c>
      <c r="C1580" s="85" t="str" cm="1">
        <f t="array" ref="C1580">IFERROR(INDEX('03.Muestra'!$F$8:$F$42,SMALL(IF("Página Web"='03.Muestra'!$D$8:$D$42,ROW('03.Muestra'!$F$8:$F$42)-MIN(ROW('03.Muestra'!$D$8:$D$42))+1,""),ROW()-1576)),"")</f>
        <v>https://www.comunidad.madrid/transparencia/que-es-transparencia</v>
      </c>
      <c r="D1580" s="99" t="s">
        <v>91</v>
      </c>
      <c r="E1580" s="79" t="str">
        <f t="shared" si="82"/>
        <v/>
      </c>
      <c r="G1580" s="18"/>
      <c r="H1580" s="18"/>
      <c r="I1580" s="18"/>
      <c r="J1580" s="18"/>
      <c r="K1580" s="183"/>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Organización</v>
      </c>
      <c r="C1581" s="85" t="str" cm="1">
        <f t="array" ref="C1581">IFERROR(INDEX('03.Muestra'!$F$8:$F$42,SMALL(IF("Página Web"='03.Muestra'!$D$8:$D$42,ROW('03.Muestra'!$F$8:$F$42)-MIN(ROW('03.Muestra'!$D$8:$D$42))+1,""),ROW()-1576)),"")</f>
        <v>https://www.comunidad.madrid/transparencia/organizacion-recursos/organizacion</v>
      </c>
      <c r="D1581" s="99" t="s">
        <v>91</v>
      </c>
      <c r="E1581" s="79" t="str">
        <f t="shared" si="82"/>
        <v/>
      </c>
      <c r="G1581" s="18"/>
      <c r="H1581" s="18"/>
      <c r="I1581" s="18"/>
      <c r="J1581" s="18"/>
      <c r="K1581" s="183"/>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Quejas</v>
      </c>
      <c r="C1582" s="85" t="str" cm="1">
        <f t="array" ref="C1582">IFERROR(INDEX('03.Muestra'!$F$8:$F$42,SMALL(IF("Página Web"='03.Muestra'!$D$8:$D$42,ROW('03.Muestra'!$F$8:$F$42)-MIN(ROW('03.Muestra'!$D$8:$D$42))+1,""),ROW()-1576)),"")</f>
        <v>https://www.comunidad.madrid/transparencia/quejas-y-reclamaciones</v>
      </c>
      <c r="D1582" s="99" t="s">
        <v>91</v>
      </c>
      <c r="E1582" s="79" t="str">
        <f t="shared" si="82"/>
        <v/>
      </c>
      <c r="G1582" s="18"/>
      <c r="H1582" s="18"/>
      <c r="I1582" s="18"/>
      <c r="J1582" s="18"/>
      <c r="K1582" s="183"/>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Contratos</v>
      </c>
      <c r="C1583" s="85" t="str" cm="1">
        <f t="array" ref="C1583">IFERROR(INDEX('03.Muestra'!$F$8:$F$42,SMALL(IF("Página Web"='03.Muestra'!$D$8:$D$42,ROW('03.Muestra'!$F$8:$F$42)-MIN(ROW('03.Muestra'!$D$8:$D$42))+1,""),ROW()-1576)),"")</f>
        <v>https://www.comunidad.madrid/transparencia/contratos</v>
      </c>
      <c r="D1583" s="99" t="s">
        <v>91</v>
      </c>
      <c r="E1583" s="79" t="str">
        <f t="shared" si="82"/>
        <v/>
      </c>
      <c r="F1583" s="18"/>
      <c r="G1583" s="18"/>
      <c r="H1583" s="18"/>
      <c r="I1583" s="18"/>
      <c r="J1583" s="18"/>
      <c r="K1583" s="183"/>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Consulta</v>
      </c>
      <c r="C1584" s="85" t="str" cm="1">
        <f t="array" ref="C1584">IFERROR(INDEX('03.Muestra'!$F$8:$F$42,SMALL(IF("Página Web"='03.Muestra'!$D$8:$D$42,ROW('03.Muestra'!$F$8:$F$42)-MIN(ROW('03.Muestra'!$D$8:$D$42))+1,""),ROW()-1576)),"")</f>
        <v>https://www.comunidad.madrid/transparencia/normativa-planificacion/consulta-publica</v>
      </c>
      <c r="D1584" s="99" t="s">
        <v>91</v>
      </c>
      <c r="E1584" s="79" t="str">
        <f t="shared" si="82"/>
        <v/>
      </c>
      <c r="F1584" s="18"/>
      <c r="G1584" s="18"/>
      <c r="H1584" s="18"/>
      <c r="I1584" s="18"/>
      <c r="J1584" s="18"/>
      <c r="K1584" s="183"/>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Proyecto</v>
      </c>
      <c r="C1585" s="85" t="str" cm="1">
        <f t="array" ref="C1585">IFERROR(INDEX('03.Muestra'!$F$8:$F$42,SMALL(IF("Página Web"='03.Muestra'!$D$8:$D$42,ROW('03.Muestra'!$F$8:$F$42)-MIN(ROW('03.Muestra'!$D$8:$D$42))+1,""),ROW()-1576)),"")</f>
        <v>https://www.comunidad.madrid/transparencia/proyecto-orden-que-se-crea-comision-farmacia-y-productos-sanitarios-cm-y-se-establece-su-composicion</v>
      </c>
      <c r="D1585" s="99" t="s">
        <v>91</v>
      </c>
      <c r="E1585" s="79" t="str">
        <f t="shared" si="82"/>
        <v/>
      </c>
      <c r="F1585" s="18"/>
      <c r="G1585" s="18"/>
      <c r="H1585" s="18"/>
      <c r="I1585" s="18"/>
      <c r="J1585" s="18"/>
      <c r="K1585" s="183"/>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Planes y Programas</v>
      </c>
      <c r="C1586" s="85" t="str" cm="1">
        <f t="array" ref="C1586">IFERROR(INDEX('03.Muestra'!$F$8:$F$42,SMALL(IF("Página Web"='03.Muestra'!$D$8:$D$42,ROW('03.Muestra'!$F$8:$F$42)-MIN(ROW('03.Muestra'!$D$8:$D$42))+1,""),ROW()-1576)),"")</f>
        <v>https://www.comunidad.madrid/transparencia/normativa-planificacion/planes-programas</v>
      </c>
      <c r="D1586" s="99" t="s">
        <v>91</v>
      </c>
      <c r="E1586" s="79" t="str">
        <f t="shared" si="82"/>
        <v/>
      </c>
      <c r="F1586" s="18"/>
      <c r="G1586" s="18"/>
      <c r="H1586" s="18"/>
      <c r="I1586" s="18"/>
      <c r="J1586" s="18"/>
      <c r="K1586" s="183"/>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Estrategia</v>
      </c>
      <c r="C1587" s="85" t="str" cm="1">
        <f t="array" ref="C1587">IFERROR(INDEX('03.Muestra'!$F$8:$F$42,SMALL(IF("Página Web"='03.Muestra'!$D$8:$D$42,ROW('03.Muestra'!$F$8:$F$42)-MIN(ROW('03.Muestra'!$D$8:$D$42))+1,""),ROW()-1576)),"")</f>
        <v>https://www.comunidad.madrid/transparencia/informacion-institucional/planes-programas/estrategia-seguridad-del-paciente-del-servicio-madrileno</v>
      </c>
      <c r="D1587" s="99" t="s">
        <v>91</v>
      </c>
      <c r="E1587" s="79" t="str">
        <f t="shared" si="82"/>
        <v/>
      </c>
      <c r="F1587" s="18"/>
      <c r="G1587" s="18"/>
      <c r="H1587" s="18"/>
      <c r="I1587" s="18"/>
      <c r="J1587" s="18"/>
      <c r="K1587" s="183"/>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Huella</v>
      </c>
      <c r="C1588" s="85" t="str" cm="1">
        <f t="array" ref="C1588">IFERROR(INDEX('03.Muestra'!$F$8:$F$42,SMALL(IF("Página Web"='03.Muestra'!$D$8:$D$42,ROW('03.Muestra'!$F$8:$F$42)-MIN(ROW('03.Muestra'!$D$8:$D$42))+1,""),ROW()-1576)),"")</f>
        <v>https://www.comunidad.madrid/transparencia/normativa-planificacion/huella-normativa</v>
      </c>
      <c r="D1588" s="99" t="s">
        <v>91</v>
      </c>
      <c r="E1588" s="79" t="str">
        <f t="shared" si="82"/>
        <v/>
      </c>
      <c r="F1588" s="18"/>
      <c r="G1588" s="18"/>
      <c r="H1588" s="18"/>
      <c r="I1588" s="18"/>
      <c r="J1588" s="18"/>
      <c r="K1588" s="183"/>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Decreto</v>
      </c>
      <c r="C1589" s="85" t="str" cm="1">
        <f t="array" ref="C1589">IFERROR(INDEX('03.Muestra'!$F$8:$F$42,SMALL(IF("Página Web"='03.Muestra'!$D$8:$D$42,ROW('03.Muestra'!$F$8:$F$42)-MIN(ROW('03.Muestra'!$D$8:$D$42))+1,""),ROW()-1576)),"")</f>
        <v>https://www.comunidad.madrid/transparencia/decreto-del-consejo-gobierno-que-se-establece-estructura-organica-consejeria-familia-juventud-y</v>
      </c>
      <c r="D1589" s="99" t="s">
        <v>91</v>
      </c>
      <c r="E1589" s="79" t="str">
        <f t="shared" si="82"/>
        <v/>
      </c>
      <c r="F1589" s="18"/>
      <c r="G1589" s="18"/>
      <c r="H1589" s="18"/>
      <c r="I1589" s="18"/>
      <c r="J1589" s="18"/>
      <c r="K1589" s="183"/>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Entidades Locales</v>
      </c>
      <c r="C1590" s="85" t="str" cm="1">
        <f t="array" ref="C1590">IFERROR(INDEX('03.Muestra'!$F$8:$F$42,SMALL(IF("Página Web"='03.Muestra'!$D$8:$D$42,ROW('03.Muestra'!$F$8:$F$42)-MIN(ROW('03.Muestra'!$D$8:$D$42))+1,""),ROW()-1576)),"")</f>
        <v>https://www.comunidad.madrid/transparencia/entidades-locales</v>
      </c>
      <c r="D1590" s="99" t="s">
        <v>91</v>
      </c>
      <c r="E1590" s="79" t="str">
        <f t="shared" si="82"/>
        <v/>
      </c>
      <c r="F1590" s="18"/>
      <c r="G1590" s="18"/>
      <c r="H1590" s="18"/>
      <c r="I1590" s="18"/>
      <c r="J1590" s="18"/>
      <c r="K1590" s="183"/>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ref="D1591:D1611" si="83">IF(AND(B1591&lt;&gt;"",C1591&lt;&gt;""),"N/T","")</f>
        <v/>
      </c>
      <c r="E1591" s="79" t="str">
        <f t="shared" si="82"/>
        <v/>
      </c>
      <c r="F1591" s="18"/>
      <c r="G1591" s="18"/>
      <c r="H1591" s="18"/>
      <c r="I1591" s="18"/>
      <c r="J1591" s="18"/>
      <c r="K1591" s="183"/>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3"/>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3"/>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3"/>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3"/>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3"/>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3"/>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3"/>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3"/>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3"/>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3"/>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3"/>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3"/>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3"/>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3"/>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3"/>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3"/>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3"/>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3"/>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3"/>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3"/>
      <c r="L1611" s="18"/>
    </row>
    <row r="1612" spans="1:12" ht="12" customHeight="1">
      <c r="B1612" s="18"/>
      <c r="C1612" s="18"/>
      <c r="D1612" s="79"/>
      <c r="E1612" s="18"/>
      <c r="F1612" s="18"/>
      <c r="G1612" s="18"/>
      <c r="H1612" s="18"/>
      <c r="I1612" s="18"/>
      <c r="J1612" s="18"/>
      <c r="K1612" s="183"/>
      <c r="L1612" s="18"/>
    </row>
    <row r="1613" spans="1:12" ht="12" customHeight="1">
      <c r="B1613" s="18"/>
      <c r="C1613" s="18"/>
      <c r="D1613" s="79"/>
      <c r="E1613" s="83"/>
      <c r="F1613" s="18"/>
      <c r="G1613" s="18"/>
      <c r="H1613" s="18"/>
      <c r="I1613" s="18"/>
      <c r="J1613" s="18"/>
      <c r="K1613" s="183"/>
      <c r="L1613" s="18"/>
    </row>
    <row r="1614" spans="1:12" ht="29.25" customHeight="1">
      <c r="A1614" s="172" t="s">
        <v>98</v>
      </c>
      <c r="B1614" s="23" t="s">
        <v>90</v>
      </c>
      <c r="C1614" s="24" t="s">
        <v>183</v>
      </c>
      <c r="D1614" s="25" t="s">
        <v>100</v>
      </c>
      <c r="E1614" s="93"/>
      <c r="K1614" s="183"/>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https://www.comunidad.madrid/transparencia/</v>
      </c>
      <c r="D1615" s="99" t="s">
        <v>103</v>
      </c>
      <c r="E1615" s="79" t="str">
        <f t="shared" ref="E1615:E1649" si="84">IF(D1615&lt;&gt;"",IF(AND(B1615&lt;&gt;"",C1615&lt;&gt;""),"","ERR"),"")</f>
        <v/>
      </c>
      <c r="F1615" s="86" t="s">
        <v>101</v>
      </c>
      <c r="G1615" s="87" t="s">
        <v>102</v>
      </c>
      <c r="H1615" s="88" t="s">
        <v>103</v>
      </c>
      <c r="I1615" s="89" t="s">
        <v>93</v>
      </c>
      <c r="J1615" s="90" t="s">
        <v>91</v>
      </c>
      <c r="K1615" s="178" t="s">
        <v>97</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Aviso legal</v>
      </c>
      <c r="C1616" s="85" t="str" cm="1">
        <f t="array" ref="C1616">IFERROR(INDEX('03.Muestra'!$F$8:$F$42,SMALL(IF("Página Web"='03.Muestra'!$D$8:$D$42,ROW('03.Muestra'!$F$8:$F$42)-MIN(ROW('03.Muestra'!$D$8:$D$42))+1,""),ROW()-1614)),"")</f>
        <v>https://www.comunidad.madrid/transparencia/aviso-legal</v>
      </c>
      <c r="D1616" s="99" t="s">
        <v>103</v>
      </c>
      <c r="E1616" s="79" t="str">
        <f t="shared" si="84"/>
        <v/>
      </c>
      <c r="F1616" s="91">
        <f ca="1">COUNTIF($D1615:INDIRECT("$D" &amp;  SUM(ROW()-1,'03.Muestra'!$D$45)-1),F1615)</f>
        <v>0</v>
      </c>
      <c r="G1616" s="91">
        <f ca="1">COUNTIF($D1615:INDIRECT("$D" &amp;  SUM(ROW()-1,'03.Muestra'!$D$45)-1),G1615)</f>
        <v>0</v>
      </c>
      <c r="H1616" s="91">
        <f ca="1">COUNTIF($D1615:INDIRECT("$D" &amp;  SUM(ROW()-1,'03.Muestra'!$D$45)-1),H1615)</f>
        <v>14</v>
      </c>
      <c r="I1616" s="91">
        <f ca="1">COUNTIF($D1615:INDIRECT("$D" &amp;  SUM(ROW()-1,'03.Muestra'!$D$45)-1),I1615)</f>
        <v>0</v>
      </c>
      <c r="J1616" s="91">
        <f ca="1">COUNTIF($D1615:INDIRECT("$D" &amp;  SUM(ROW()-1,'03.Muestra'!$D$45)-1),J1615)</f>
        <v>0</v>
      </c>
      <c r="K1616" s="179">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Accesibilidad</v>
      </c>
      <c r="C1617" s="85" t="str" cm="1">
        <f t="array" ref="C1617">IFERROR(INDEX('03.Muestra'!$F$8:$F$42,SMALL(IF("Página Web"='03.Muestra'!$D$8:$D$42,ROW('03.Muestra'!$F$8:$F$42)-MIN(ROW('03.Muestra'!$D$8:$D$42))+1,""),ROW()-1614)),"")</f>
        <v>https://www.comunidad.madrid/transparencia/declaracion-accesibilidad</v>
      </c>
      <c r="D1617" s="99" t="s">
        <v>103</v>
      </c>
      <c r="E1617" s="79" t="str">
        <f t="shared" si="84"/>
        <v/>
      </c>
      <c r="K1617" s="183"/>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Tranparencia</v>
      </c>
      <c r="C1618" s="85" t="str" cm="1">
        <f t="array" ref="C1618">IFERROR(INDEX('03.Muestra'!$F$8:$F$42,SMALL(IF("Página Web"='03.Muestra'!$D$8:$D$42,ROW('03.Muestra'!$F$8:$F$42)-MIN(ROW('03.Muestra'!$D$8:$D$42))+1,""),ROW()-1614)),"")</f>
        <v>https://www.comunidad.madrid/transparencia/que-es-transparencia</v>
      </c>
      <c r="D1618" s="99" t="s">
        <v>103</v>
      </c>
      <c r="E1618" s="79" t="str">
        <f t="shared" si="84"/>
        <v/>
      </c>
      <c r="G1618" s="18"/>
      <c r="H1618" s="18"/>
      <c r="I1618" s="18"/>
      <c r="J1618" s="18"/>
      <c r="K1618" s="183"/>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Organización</v>
      </c>
      <c r="C1619" s="85" t="str" cm="1">
        <f t="array" ref="C1619">IFERROR(INDEX('03.Muestra'!$F$8:$F$42,SMALL(IF("Página Web"='03.Muestra'!$D$8:$D$42,ROW('03.Muestra'!$F$8:$F$42)-MIN(ROW('03.Muestra'!$D$8:$D$42))+1,""),ROW()-1614)),"")</f>
        <v>https://www.comunidad.madrid/transparencia/organizacion-recursos/organizacion</v>
      </c>
      <c r="D1619" s="99" t="s">
        <v>103</v>
      </c>
      <c r="E1619" s="79" t="str">
        <f t="shared" si="84"/>
        <v/>
      </c>
      <c r="G1619" s="18"/>
      <c r="H1619" s="18"/>
      <c r="I1619" s="18"/>
      <c r="J1619" s="18"/>
      <c r="K1619" s="183"/>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Quejas</v>
      </c>
      <c r="C1620" s="85" t="str" cm="1">
        <f t="array" ref="C1620">IFERROR(INDEX('03.Muestra'!$F$8:$F$42,SMALL(IF("Página Web"='03.Muestra'!$D$8:$D$42,ROW('03.Muestra'!$F$8:$F$42)-MIN(ROW('03.Muestra'!$D$8:$D$42))+1,""),ROW()-1614)),"")</f>
        <v>https://www.comunidad.madrid/transparencia/quejas-y-reclamaciones</v>
      </c>
      <c r="D1620" s="99" t="s">
        <v>103</v>
      </c>
      <c r="E1620" s="79" t="str">
        <f t="shared" si="84"/>
        <v/>
      </c>
      <c r="G1620" s="18"/>
      <c r="H1620" s="18"/>
      <c r="I1620" s="18"/>
      <c r="J1620" s="18"/>
      <c r="K1620" s="183"/>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Contratos</v>
      </c>
      <c r="C1621" s="85" t="str" cm="1">
        <f t="array" ref="C1621">IFERROR(INDEX('03.Muestra'!$F$8:$F$42,SMALL(IF("Página Web"='03.Muestra'!$D$8:$D$42,ROW('03.Muestra'!$F$8:$F$42)-MIN(ROW('03.Muestra'!$D$8:$D$42))+1,""),ROW()-1614)),"")</f>
        <v>https://www.comunidad.madrid/transparencia/contratos</v>
      </c>
      <c r="D1621" s="99" t="s">
        <v>103</v>
      </c>
      <c r="E1621" s="79" t="str">
        <f t="shared" si="84"/>
        <v/>
      </c>
      <c r="F1621" s="18"/>
      <c r="G1621" s="18"/>
      <c r="H1621" s="18"/>
      <c r="I1621" s="18"/>
      <c r="J1621" s="18"/>
      <c r="K1621" s="183"/>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Consulta</v>
      </c>
      <c r="C1622" s="85" t="str" cm="1">
        <f t="array" ref="C1622">IFERROR(INDEX('03.Muestra'!$F$8:$F$42,SMALL(IF("Página Web"='03.Muestra'!$D$8:$D$42,ROW('03.Muestra'!$F$8:$F$42)-MIN(ROW('03.Muestra'!$D$8:$D$42))+1,""),ROW()-1614)),"")</f>
        <v>https://www.comunidad.madrid/transparencia/normativa-planificacion/consulta-publica</v>
      </c>
      <c r="D1622" s="99" t="s">
        <v>103</v>
      </c>
      <c r="E1622" s="79" t="str">
        <f t="shared" si="84"/>
        <v/>
      </c>
      <c r="F1622" s="18"/>
      <c r="G1622" s="18"/>
      <c r="H1622" s="18"/>
      <c r="I1622" s="18"/>
      <c r="J1622" s="18"/>
      <c r="K1622" s="183"/>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Proyecto</v>
      </c>
      <c r="C1623" s="85" t="str" cm="1">
        <f t="array" ref="C1623">IFERROR(INDEX('03.Muestra'!$F$8:$F$42,SMALL(IF("Página Web"='03.Muestra'!$D$8:$D$42,ROW('03.Muestra'!$F$8:$F$42)-MIN(ROW('03.Muestra'!$D$8:$D$42))+1,""),ROW()-1614)),"")</f>
        <v>https://www.comunidad.madrid/transparencia/proyecto-orden-que-se-crea-comision-farmacia-y-productos-sanitarios-cm-y-se-establece-su-composicion</v>
      </c>
      <c r="D1623" s="99" t="s">
        <v>103</v>
      </c>
      <c r="E1623" s="79" t="str">
        <f t="shared" si="84"/>
        <v/>
      </c>
      <c r="F1623" s="18"/>
      <c r="G1623" s="18"/>
      <c r="H1623" s="18"/>
      <c r="I1623" s="18"/>
      <c r="J1623" s="18"/>
      <c r="K1623" s="183"/>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Planes y Programas</v>
      </c>
      <c r="C1624" s="85" t="str" cm="1">
        <f t="array" ref="C1624">IFERROR(INDEX('03.Muestra'!$F$8:$F$42,SMALL(IF("Página Web"='03.Muestra'!$D$8:$D$42,ROW('03.Muestra'!$F$8:$F$42)-MIN(ROW('03.Muestra'!$D$8:$D$42))+1,""),ROW()-1614)),"")</f>
        <v>https://www.comunidad.madrid/transparencia/normativa-planificacion/planes-programas</v>
      </c>
      <c r="D1624" s="99" t="s">
        <v>103</v>
      </c>
      <c r="E1624" s="79" t="str">
        <f t="shared" si="84"/>
        <v/>
      </c>
      <c r="F1624" s="18"/>
      <c r="G1624" s="18"/>
      <c r="H1624" s="18"/>
      <c r="I1624" s="18"/>
      <c r="J1624" s="18"/>
      <c r="K1624" s="183"/>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Estrategia</v>
      </c>
      <c r="C1625" s="85" t="str" cm="1">
        <f t="array" ref="C1625">IFERROR(INDEX('03.Muestra'!$F$8:$F$42,SMALL(IF("Página Web"='03.Muestra'!$D$8:$D$42,ROW('03.Muestra'!$F$8:$F$42)-MIN(ROW('03.Muestra'!$D$8:$D$42))+1,""),ROW()-1614)),"")</f>
        <v>https://www.comunidad.madrid/transparencia/informacion-institucional/planes-programas/estrategia-seguridad-del-paciente-del-servicio-madrileno</v>
      </c>
      <c r="D1625" s="99" t="s">
        <v>103</v>
      </c>
      <c r="E1625" s="79" t="str">
        <f t="shared" si="84"/>
        <v/>
      </c>
      <c r="F1625" s="18"/>
      <c r="G1625" s="18"/>
      <c r="H1625" s="18"/>
      <c r="I1625" s="18"/>
      <c r="J1625" s="18"/>
      <c r="K1625" s="183"/>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Huella</v>
      </c>
      <c r="C1626" s="85" t="str" cm="1">
        <f t="array" ref="C1626">IFERROR(INDEX('03.Muestra'!$F$8:$F$42,SMALL(IF("Página Web"='03.Muestra'!$D$8:$D$42,ROW('03.Muestra'!$F$8:$F$42)-MIN(ROW('03.Muestra'!$D$8:$D$42))+1,""),ROW()-1614)),"")</f>
        <v>https://www.comunidad.madrid/transparencia/normativa-planificacion/huella-normativa</v>
      </c>
      <c r="D1626" s="99" t="s">
        <v>103</v>
      </c>
      <c r="E1626" s="79" t="str">
        <f t="shared" si="84"/>
        <v/>
      </c>
      <c r="F1626" s="18"/>
      <c r="G1626" s="18"/>
      <c r="H1626" s="18"/>
      <c r="I1626" s="18"/>
      <c r="J1626" s="18"/>
      <c r="K1626" s="183"/>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Decreto</v>
      </c>
      <c r="C1627" s="85" t="str" cm="1">
        <f t="array" ref="C1627">IFERROR(INDEX('03.Muestra'!$F$8:$F$42,SMALL(IF("Página Web"='03.Muestra'!$D$8:$D$42,ROW('03.Muestra'!$F$8:$F$42)-MIN(ROW('03.Muestra'!$D$8:$D$42))+1,""),ROW()-1614)),"")</f>
        <v>https://www.comunidad.madrid/transparencia/decreto-del-consejo-gobierno-que-se-establece-estructura-organica-consejeria-familia-juventud-y</v>
      </c>
      <c r="D1627" s="99" t="s">
        <v>103</v>
      </c>
      <c r="E1627" s="79" t="str">
        <f t="shared" si="84"/>
        <v/>
      </c>
      <c r="F1627" s="18"/>
      <c r="G1627" s="18"/>
      <c r="H1627" s="18"/>
      <c r="I1627" s="18"/>
      <c r="J1627" s="18"/>
      <c r="K1627" s="183"/>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Entidades Locales</v>
      </c>
      <c r="C1628" s="85" t="str" cm="1">
        <f t="array" ref="C1628">IFERROR(INDEX('03.Muestra'!$F$8:$F$42,SMALL(IF("Página Web"='03.Muestra'!$D$8:$D$42,ROW('03.Muestra'!$F$8:$F$42)-MIN(ROW('03.Muestra'!$D$8:$D$42))+1,""),ROW()-1614)),"")</f>
        <v>https://www.comunidad.madrid/transparencia/entidades-locales</v>
      </c>
      <c r="D1628" s="99" t="s">
        <v>103</v>
      </c>
      <c r="E1628" s="79" t="str">
        <f t="shared" si="84"/>
        <v/>
      </c>
      <c r="F1628" s="18"/>
      <c r="G1628" s="18"/>
      <c r="H1628" s="18"/>
      <c r="I1628" s="18"/>
      <c r="J1628" s="18"/>
      <c r="K1628" s="183"/>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c r="E1629" s="79" t="str">
        <f t="shared" si="84"/>
        <v/>
      </c>
      <c r="F1629" s="18"/>
      <c r="G1629" s="18"/>
      <c r="H1629" s="18"/>
      <c r="I1629" s="18"/>
      <c r="J1629" s="18"/>
      <c r="K1629" s="183"/>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ref="D1630:D1649" si="85">IF(AND(B1630&lt;&gt;"",C1630&lt;&gt;""),"N/T","")</f>
        <v/>
      </c>
      <c r="E1630" s="79" t="str">
        <f t="shared" si="84"/>
        <v/>
      </c>
      <c r="F1630" s="18"/>
      <c r="G1630" s="18"/>
      <c r="H1630" s="18"/>
      <c r="I1630" s="18"/>
      <c r="J1630" s="18"/>
      <c r="K1630" s="183"/>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3"/>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3"/>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3"/>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3"/>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3"/>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3"/>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3"/>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3"/>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3"/>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3"/>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3"/>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3"/>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3"/>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3"/>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3"/>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3"/>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3"/>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3"/>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3"/>
    </row>
    <row r="1650" spans="1:11" ht="12" customHeight="1">
      <c r="B1650" s="18"/>
      <c r="C1650" s="18"/>
      <c r="D1650" s="79"/>
      <c r="E1650" s="18"/>
      <c r="F1650" s="18"/>
      <c r="G1650" s="18"/>
      <c r="H1650" s="18"/>
      <c r="I1650" s="18"/>
      <c r="J1650" s="18"/>
      <c r="K1650" s="183"/>
    </row>
    <row r="1651" spans="1:11" ht="12" customHeight="1">
      <c r="B1651" s="18"/>
      <c r="C1651" s="18"/>
      <c r="D1651" s="79"/>
      <c r="E1651" s="83"/>
      <c r="F1651" s="18"/>
      <c r="G1651" s="18"/>
      <c r="H1651" s="18"/>
      <c r="I1651" s="18"/>
      <c r="J1651" s="18"/>
      <c r="K1651" s="183"/>
    </row>
    <row r="1652" spans="1:11" ht="29.25" customHeight="1">
      <c r="A1652" s="172" t="s">
        <v>98</v>
      </c>
      <c r="B1652" s="23" t="s">
        <v>90</v>
      </c>
      <c r="C1652" s="24" t="s">
        <v>184</v>
      </c>
      <c r="D1652" s="25" t="s">
        <v>100</v>
      </c>
      <c r="E1652" s="93"/>
      <c r="K1652" s="183"/>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https://www.comunidad.madrid/transparencia/</v>
      </c>
      <c r="D1653" s="99" t="s">
        <v>93</v>
      </c>
      <c r="E1653" s="79" t="str">
        <f t="shared" ref="E1653:E1687" si="86">IF(D1653&lt;&gt;"",IF(AND(B1653&lt;&gt;"",C1653&lt;&gt;""),"","ERR"),"")</f>
        <v/>
      </c>
      <c r="F1653" s="86" t="s">
        <v>101</v>
      </c>
      <c r="G1653" s="87" t="s">
        <v>102</v>
      </c>
      <c r="H1653" s="88" t="s">
        <v>103</v>
      </c>
      <c r="I1653" s="89" t="s">
        <v>93</v>
      </c>
      <c r="J1653" s="90" t="s">
        <v>91</v>
      </c>
      <c r="K1653" s="178" t="s">
        <v>97</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Aviso legal</v>
      </c>
      <c r="C1654" s="85" t="str" cm="1">
        <f t="array" ref="C1654">IFERROR(INDEX('03.Muestra'!$F$8:$F$42,SMALL(IF("Página Web"='03.Muestra'!$D$8:$D$42,ROW('03.Muestra'!$F$8:$F$42)-MIN(ROW('03.Muestra'!$D$8:$D$42))+1,""),ROW()-1652)),"")</f>
        <v>https://www.comunidad.madrid/transparencia/aviso-legal</v>
      </c>
      <c r="D1654" s="99" t="s">
        <v>91</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10</v>
      </c>
      <c r="J1654" s="91">
        <f ca="1">COUNTIF($D1653:INDIRECT("$D" &amp;  SUM(ROW()-1,'03.Muestra'!$D$45)-1),J1653)</f>
        <v>4</v>
      </c>
      <c r="K1654" s="179">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Accesibilidad</v>
      </c>
      <c r="C1655" s="85" t="str" cm="1">
        <f t="array" ref="C1655">IFERROR(INDEX('03.Muestra'!$F$8:$F$42,SMALL(IF("Página Web"='03.Muestra'!$D$8:$D$42,ROW('03.Muestra'!$F$8:$F$42)-MIN(ROW('03.Muestra'!$D$8:$D$42))+1,""),ROW()-1652)),"")</f>
        <v>https://www.comunidad.madrid/transparencia/declaracion-accesibilidad</v>
      </c>
      <c r="D1655" s="99" t="s">
        <v>93</v>
      </c>
      <c r="E1655" s="79" t="str">
        <f t="shared" si="86"/>
        <v/>
      </c>
      <c r="G1655" s="18"/>
      <c r="H1655" s="18"/>
      <c r="I1655" s="18"/>
      <c r="J1655" s="18"/>
      <c r="K1655" s="183"/>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Tranparencia</v>
      </c>
      <c r="C1656" s="85" t="str" cm="1">
        <f t="array" ref="C1656">IFERROR(INDEX('03.Muestra'!$F$8:$F$42,SMALL(IF("Página Web"='03.Muestra'!$D$8:$D$42,ROW('03.Muestra'!$F$8:$F$42)-MIN(ROW('03.Muestra'!$D$8:$D$42))+1,""),ROW()-1652)),"")</f>
        <v>https://www.comunidad.madrid/transparencia/que-es-transparencia</v>
      </c>
      <c r="D1656" s="99" t="s">
        <v>93</v>
      </c>
      <c r="E1656" s="79" t="str">
        <f t="shared" si="86"/>
        <v/>
      </c>
      <c r="G1656" s="18"/>
      <c r="H1656" s="18"/>
      <c r="I1656" s="18"/>
      <c r="J1656" s="18"/>
      <c r="K1656" s="183"/>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Organización</v>
      </c>
      <c r="C1657" s="85" t="str" cm="1">
        <f t="array" ref="C1657">IFERROR(INDEX('03.Muestra'!$F$8:$F$42,SMALL(IF("Página Web"='03.Muestra'!$D$8:$D$42,ROW('03.Muestra'!$F$8:$F$42)-MIN(ROW('03.Muestra'!$D$8:$D$42))+1,""),ROW()-1652)),"")</f>
        <v>https://www.comunidad.madrid/transparencia/organizacion-recursos/organizacion</v>
      </c>
      <c r="D1657" s="99" t="s">
        <v>93</v>
      </c>
      <c r="E1657" s="79" t="str">
        <f t="shared" si="86"/>
        <v/>
      </c>
      <c r="G1657" s="18"/>
      <c r="H1657" s="18"/>
      <c r="I1657" s="18"/>
      <c r="J1657" s="18"/>
      <c r="K1657" s="183"/>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Quejas</v>
      </c>
      <c r="C1658" s="85" t="str" cm="1">
        <f t="array" ref="C1658">IFERROR(INDEX('03.Muestra'!$F$8:$F$42,SMALL(IF("Página Web"='03.Muestra'!$D$8:$D$42,ROW('03.Muestra'!$F$8:$F$42)-MIN(ROW('03.Muestra'!$D$8:$D$42))+1,""),ROW()-1652)),"")</f>
        <v>https://www.comunidad.madrid/transparencia/quejas-y-reclamaciones</v>
      </c>
      <c r="D1658" s="99" t="s">
        <v>91</v>
      </c>
      <c r="E1658" s="79" t="str">
        <f t="shared" si="86"/>
        <v/>
      </c>
      <c r="G1658" s="18"/>
      <c r="H1658" s="18"/>
      <c r="I1658" s="18"/>
      <c r="J1658" s="18"/>
      <c r="K1658" s="183"/>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Contratos</v>
      </c>
      <c r="C1659" s="85" t="str" cm="1">
        <f t="array" ref="C1659">IFERROR(INDEX('03.Muestra'!$F$8:$F$42,SMALL(IF("Página Web"='03.Muestra'!$D$8:$D$42,ROW('03.Muestra'!$F$8:$F$42)-MIN(ROW('03.Muestra'!$D$8:$D$42))+1,""),ROW()-1652)),"")</f>
        <v>https://www.comunidad.madrid/transparencia/contratos</v>
      </c>
      <c r="D1659" s="99" t="s">
        <v>93</v>
      </c>
      <c r="E1659" s="79" t="str">
        <f t="shared" si="86"/>
        <v/>
      </c>
      <c r="F1659" s="18"/>
      <c r="G1659" s="18"/>
      <c r="H1659" s="18"/>
      <c r="I1659" s="18"/>
      <c r="J1659" s="18"/>
      <c r="K1659" s="183"/>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Consulta</v>
      </c>
      <c r="C1660" s="85" t="str" cm="1">
        <f t="array" ref="C1660">IFERROR(INDEX('03.Muestra'!$F$8:$F$42,SMALL(IF("Página Web"='03.Muestra'!$D$8:$D$42,ROW('03.Muestra'!$F$8:$F$42)-MIN(ROW('03.Muestra'!$D$8:$D$42))+1,""),ROW()-1652)),"")</f>
        <v>https://www.comunidad.madrid/transparencia/normativa-planificacion/consulta-publica</v>
      </c>
      <c r="D1660" s="99" t="s">
        <v>93</v>
      </c>
      <c r="E1660" s="79" t="str">
        <f t="shared" si="86"/>
        <v/>
      </c>
      <c r="F1660" s="18"/>
      <c r="G1660" s="18"/>
      <c r="H1660" s="18"/>
      <c r="I1660" s="18"/>
      <c r="J1660" s="18"/>
      <c r="K1660" s="183"/>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Proyecto</v>
      </c>
      <c r="C1661" s="85" t="str" cm="1">
        <f t="array" ref="C1661">IFERROR(INDEX('03.Muestra'!$F$8:$F$42,SMALL(IF("Página Web"='03.Muestra'!$D$8:$D$42,ROW('03.Muestra'!$F$8:$F$42)-MIN(ROW('03.Muestra'!$D$8:$D$42))+1,""),ROW()-1652)),"")</f>
        <v>https://www.comunidad.madrid/transparencia/proyecto-orden-que-se-crea-comision-farmacia-y-productos-sanitarios-cm-y-se-establece-su-composicion</v>
      </c>
      <c r="D1661" s="99" t="s">
        <v>91</v>
      </c>
      <c r="E1661" s="79" t="str">
        <f t="shared" si="86"/>
        <v/>
      </c>
      <c r="F1661" s="18"/>
      <c r="G1661" s="18"/>
      <c r="H1661" s="18"/>
      <c r="I1661" s="18"/>
      <c r="J1661" s="18"/>
      <c r="K1661" s="183"/>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Planes y Programas</v>
      </c>
      <c r="C1662" s="85" t="str" cm="1">
        <f t="array" ref="C1662">IFERROR(INDEX('03.Muestra'!$F$8:$F$42,SMALL(IF("Página Web"='03.Muestra'!$D$8:$D$42,ROW('03.Muestra'!$F$8:$F$42)-MIN(ROW('03.Muestra'!$D$8:$D$42))+1,""),ROW()-1652)),"")</f>
        <v>https://www.comunidad.madrid/transparencia/normativa-planificacion/planes-programas</v>
      </c>
      <c r="D1662" s="99" t="s">
        <v>93</v>
      </c>
      <c r="E1662" s="79" t="str">
        <f t="shared" si="86"/>
        <v/>
      </c>
      <c r="F1662" s="18"/>
      <c r="G1662" s="18"/>
      <c r="H1662" s="18"/>
      <c r="I1662" s="18"/>
      <c r="J1662" s="18"/>
      <c r="K1662" s="183"/>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Estrategia</v>
      </c>
      <c r="C1663" s="85" t="str" cm="1">
        <f t="array" ref="C1663">IFERROR(INDEX('03.Muestra'!$F$8:$F$42,SMALL(IF("Página Web"='03.Muestra'!$D$8:$D$42,ROW('03.Muestra'!$F$8:$F$42)-MIN(ROW('03.Muestra'!$D$8:$D$42))+1,""),ROW()-1652)),"")</f>
        <v>https://www.comunidad.madrid/transparencia/informacion-institucional/planes-programas/estrategia-seguridad-del-paciente-del-servicio-madrileno</v>
      </c>
      <c r="D1663" s="99" t="s">
        <v>91</v>
      </c>
      <c r="E1663" s="79" t="str">
        <f t="shared" si="86"/>
        <v/>
      </c>
      <c r="F1663" s="18"/>
      <c r="G1663" s="18"/>
      <c r="H1663" s="18"/>
      <c r="I1663" s="18"/>
      <c r="J1663" s="18"/>
      <c r="K1663" s="183"/>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Huella</v>
      </c>
      <c r="C1664" s="85" t="str" cm="1">
        <f t="array" ref="C1664">IFERROR(INDEX('03.Muestra'!$F$8:$F$42,SMALL(IF("Página Web"='03.Muestra'!$D$8:$D$42,ROW('03.Muestra'!$F$8:$F$42)-MIN(ROW('03.Muestra'!$D$8:$D$42))+1,""),ROW()-1652)),"")</f>
        <v>https://www.comunidad.madrid/transparencia/normativa-planificacion/huella-normativa</v>
      </c>
      <c r="D1664" s="99" t="s">
        <v>93</v>
      </c>
      <c r="E1664" s="79" t="str">
        <f t="shared" si="86"/>
        <v/>
      </c>
      <c r="F1664" s="18"/>
      <c r="G1664" s="18"/>
      <c r="H1664" s="18"/>
      <c r="I1664" s="18"/>
      <c r="J1664" s="18"/>
      <c r="K1664" s="183"/>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Decreto</v>
      </c>
      <c r="C1665" s="85" t="str" cm="1">
        <f t="array" ref="C1665">IFERROR(INDEX('03.Muestra'!$F$8:$F$42,SMALL(IF("Página Web"='03.Muestra'!$D$8:$D$42,ROW('03.Muestra'!$F$8:$F$42)-MIN(ROW('03.Muestra'!$D$8:$D$42))+1,""),ROW()-1652)),"")</f>
        <v>https://www.comunidad.madrid/transparencia/decreto-del-consejo-gobierno-que-se-establece-estructura-organica-consejeria-familia-juventud-y</v>
      </c>
      <c r="D1665" s="99" t="s">
        <v>93</v>
      </c>
      <c r="E1665" s="79" t="str">
        <f t="shared" si="86"/>
        <v/>
      </c>
      <c r="F1665" s="18"/>
      <c r="G1665" s="18"/>
      <c r="H1665" s="18"/>
      <c r="I1665" s="18"/>
      <c r="J1665" s="18"/>
      <c r="K1665" s="183"/>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Entidades Locales</v>
      </c>
      <c r="C1666" s="85" t="str" cm="1">
        <f t="array" ref="C1666">IFERROR(INDEX('03.Muestra'!$F$8:$F$42,SMALL(IF("Página Web"='03.Muestra'!$D$8:$D$42,ROW('03.Muestra'!$F$8:$F$42)-MIN(ROW('03.Muestra'!$D$8:$D$42))+1,""),ROW()-1652)),"")</f>
        <v>https://www.comunidad.madrid/transparencia/entidades-locales</v>
      </c>
      <c r="D1666" s="99" t="s">
        <v>93</v>
      </c>
      <c r="E1666" s="79" t="str">
        <f t="shared" si="86"/>
        <v/>
      </c>
      <c r="F1666" s="18"/>
      <c r="G1666" s="18"/>
      <c r="H1666" s="18"/>
      <c r="I1666" s="18"/>
      <c r="J1666" s="18"/>
      <c r="K1666" s="183"/>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ref="D1667:D1687" si="87">IF(AND(B1667&lt;&gt;"",C1667&lt;&gt;""),"N/T","")</f>
        <v/>
      </c>
      <c r="E1667" s="79" t="str">
        <f t="shared" si="86"/>
        <v/>
      </c>
      <c r="F1667" s="18"/>
      <c r="G1667" s="18"/>
      <c r="H1667" s="18"/>
      <c r="I1667" s="18"/>
      <c r="J1667" s="18"/>
      <c r="K1667" s="183"/>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3"/>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3"/>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3"/>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3"/>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3"/>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3"/>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3"/>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3"/>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3"/>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3"/>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3"/>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3"/>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3"/>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3"/>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3"/>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3"/>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3"/>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3"/>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3"/>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3"/>
    </row>
    <row r="1688" spans="1:11" ht="12" customHeight="1">
      <c r="B1688" s="18"/>
      <c r="C1688" s="18"/>
      <c r="D1688" s="79"/>
      <c r="E1688" s="18"/>
      <c r="F1688" s="18"/>
      <c r="G1688" s="18"/>
      <c r="H1688" s="18"/>
      <c r="I1688" s="18"/>
      <c r="J1688" s="18"/>
      <c r="K1688" s="183"/>
    </row>
    <row r="1689" spans="1:11" ht="12" customHeight="1">
      <c r="B1689" s="18"/>
      <c r="C1689" s="18"/>
      <c r="D1689" s="79"/>
      <c r="E1689" s="83"/>
      <c r="F1689" s="18"/>
      <c r="G1689" s="18"/>
      <c r="H1689" s="18"/>
      <c r="I1689" s="18"/>
      <c r="J1689" s="18"/>
      <c r="K1689" s="183"/>
    </row>
    <row r="1690" spans="1:11" ht="29.25" customHeight="1">
      <c r="A1690" s="172" t="s">
        <v>98</v>
      </c>
      <c r="B1690" s="23" t="s">
        <v>90</v>
      </c>
      <c r="C1690" s="24" t="s">
        <v>185</v>
      </c>
      <c r="D1690" s="25" t="s">
        <v>100</v>
      </c>
      <c r="E1690" s="93"/>
      <c r="K1690" s="183"/>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https://www.comunidad.madrid/transparencia/</v>
      </c>
      <c r="D1691" s="99" t="s">
        <v>103</v>
      </c>
      <c r="E1691" s="79" t="str">
        <f t="shared" ref="E1691:E1725" si="88">IF(D1691&lt;&gt;"",IF(AND(B1691&lt;&gt;"",C1691&lt;&gt;""),"","ERR"),"")</f>
        <v/>
      </c>
      <c r="F1691" s="86" t="s">
        <v>101</v>
      </c>
      <c r="G1691" s="87" t="s">
        <v>102</v>
      </c>
      <c r="H1691" s="88" t="s">
        <v>103</v>
      </c>
      <c r="I1691" s="89" t="s">
        <v>93</v>
      </c>
      <c r="J1691" s="90" t="s">
        <v>91</v>
      </c>
      <c r="K1691" s="178" t="s">
        <v>97</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Aviso legal</v>
      </c>
      <c r="C1692" s="85" t="str" cm="1">
        <f t="array" ref="C1692">IFERROR(INDEX('03.Muestra'!$F$8:$F$42,SMALL(IF("Página Web"='03.Muestra'!$D$8:$D$42,ROW('03.Muestra'!$F$8:$F$42)-MIN(ROW('03.Muestra'!$D$8:$D$42))+1,""),ROW()-1690)),"")</f>
        <v>https://www.comunidad.madrid/transparencia/aviso-legal</v>
      </c>
      <c r="D1692" s="99" t="s">
        <v>103</v>
      </c>
      <c r="E1692" s="79" t="str">
        <f t="shared" si="88"/>
        <v/>
      </c>
      <c r="F1692" s="91">
        <f ca="1">COUNTIF($D1691:INDIRECT("$D" &amp;  SUM(ROW()-1,'03.Muestra'!$D$45)-1),F1691)</f>
        <v>0</v>
      </c>
      <c r="G1692" s="91">
        <f ca="1">COUNTIF($D1691:INDIRECT("$D" &amp;  SUM(ROW()-1,'03.Muestra'!$D$45)-1),G1691)</f>
        <v>0</v>
      </c>
      <c r="H1692" s="91">
        <f ca="1">COUNTIF($D1691:INDIRECT("$D" &amp;  SUM(ROW()-1,'03.Muestra'!$D$45)-1),H1691)</f>
        <v>14</v>
      </c>
      <c r="I1692" s="91">
        <f ca="1">COUNTIF($D1691:INDIRECT("$D" &amp;  SUM(ROW()-1,'03.Muestra'!$D$45)-1),I1691)</f>
        <v>0</v>
      </c>
      <c r="J1692" s="91">
        <f ca="1">COUNTIF($D1691:INDIRECT("$D" &amp;  SUM(ROW()-1,'03.Muestra'!$D$45)-1),J1691)</f>
        <v>0</v>
      </c>
      <c r="K1692" s="179">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Accesibilidad</v>
      </c>
      <c r="C1693" s="85" t="str" cm="1">
        <f t="array" ref="C1693">IFERROR(INDEX('03.Muestra'!$F$8:$F$42,SMALL(IF("Página Web"='03.Muestra'!$D$8:$D$42,ROW('03.Muestra'!$F$8:$F$42)-MIN(ROW('03.Muestra'!$D$8:$D$42))+1,""),ROW()-1690)),"")</f>
        <v>https://www.comunidad.madrid/transparencia/declaracion-accesibilidad</v>
      </c>
      <c r="D1693" s="99" t="s">
        <v>103</v>
      </c>
      <c r="E1693" s="79" t="str">
        <f t="shared" si="88"/>
        <v/>
      </c>
      <c r="G1693" s="18"/>
      <c r="H1693" s="18"/>
      <c r="I1693" s="18"/>
      <c r="J1693" s="18"/>
      <c r="K1693" s="183"/>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Tranparencia</v>
      </c>
      <c r="C1694" s="85" t="str" cm="1">
        <f t="array" ref="C1694">IFERROR(INDEX('03.Muestra'!$F$8:$F$42,SMALL(IF("Página Web"='03.Muestra'!$D$8:$D$42,ROW('03.Muestra'!$F$8:$F$42)-MIN(ROW('03.Muestra'!$D$8:$D$42))+1,""),ROW()-1690)),"")</f>
        <v>https://www.comunidad.madrid/transparencia/que-es-transparencia</v>
      </c>
      <c r="D1694" s="99" t="s">
        <v>103</v>
      </c>
      <c r="E1694" s="79" t="str">
        <f t="shared" si="88"/>
        <v/>
      </c>
      <c r="G1694" s="18"/>
      <c r="H1694" s="18"/>
      <c r="I1694" s="18"/>
      <c r="J1694" s="18"/>
      <c r="K1694" s="183"/>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Organización</v>
      </c>
      <c r="C1695" s="85" t="str" cm="1">
        <f t="array" ref="C1695">IFERROR(INDEX('03.Muestra'!$F$8:$F$42,SMALL(IF("Página Web"='03.Muestra'!$D$8:$D$42,ROW('03.Muestra'!$F$8:$F$42)-MIN(ROW('03.Muestra'!$D$8:$D$42))+1,""),ROW()-1690)),"")</f>
        <v>https://www.comunidad.madrid/transparencia/organizacion-recursos/organizacion</v>
      </c>
      <c r="D1695" s="99" t="s">
        <v>103</v>
      </c>
      <c r="E1695" s="79" t="str">
        <f t="shared" si="88"/>
        <v/>
      </c>
      <c r="G1695" s="18"/>
      <c r="H1695" s="18"/>
      <c r="I1695" s="18"/>
      <c r="J1695" s="18"/>
      <c r="K1695" s="183"/>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Quejas</v>
      </c>
      <c r="C1696" s="85" t="str" cm="1">
        <f t="array" ref="C1696">IFERROR(INDEX('03.Muestra'!$F$8:$F$42,SMALL(IF("Página Web"='03.Muestra'!$D$8:$D$42,ROW('03.Muestra'!$F$8:$F$42)-MIN(ROW('03.Muestra'!$D$8:$D$42))+1,""),ROW()-1690)),"")</f>
        <v>https://www.comunidad.madrid/transparencia/quejas-y-reclamaciones</v>
      </c>
      <c r="D1696" s="99" t="s">
        <v>103</v>
      </c>
      <c r="E1696" s="79" t="str">
        <f t="shared" si="88"/>
        <v/>
      </c>
      <c r="G1696" s="18"/>
      <c r="H1696" s="18"/>
      <c r="I1696" s="18"/>
      <c r="J1696" s="18"/>
      <c r="K1696" s="183"/>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Contratos</v>
      </c>
      <c r="C1697" s="85" t="str" cm="1">
        <f t="array" ref="C1697">IFERROR(INDEX('03.Muestra'!$F$8:$F$42,SMALL(IF("Página Web"='03.Muestra'!$D$8:$D$42,ROW('03.Muestra'!$F$8:$F$42)-MIN(ROW('03.Muestra'!$D$8:$D$42))+1,""),ROW()-1690)),"")</f>
        <v>https://www.comunidad.madrid/transparencia/contratos</v>
      </c>
      <c r="D1697" s="99" t="s">
        <v>103</v>
      </c>
      <c r="E1697" s="79" t="str">
        <f t="shared" si="88"/>
        <v/>
      </c>
      <c r="F1697" s="18"/>
      <c r="G1697" s="18"/>
      <c r="H1697" s="18"/>
      <c r="I1697" s="18"/>
      <c r="J1697" s="18"/>
      <c r="K1697" s="183"/>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Consulta</v>
      </c>
      <c r="C1698" s="85" t="str" cm="1">
        <f t="array" ref="C1698">IFERROR(INDEX('03.Muestra'!$F$8:$F$42,SMALL(IF("Página Web"='03.Muestra'!$D$8:$D$42,ROW('03.Muestra'!$F$8:$F$42)-MIN(ROW('03.Muestra'!$D$8:$D$42))+1,""),ROW()-1690)),"")</f>
        <v>https://www.comunidad.madrid/transparencia/normativa-planificacion/consulta-publica</v>
      </c>
      <c r="D1698" s="99" t="s">
        <v>103</v>
      </c>
      <c r="E1698" s="79" t="str">
        <f t="shared" si="88"/>
        <v/>
      </c>
      <c r="F1698" s="18"/>
      <c r="G1698" s="18"/>
      <c r="H1698" s="18"/>
      <c r="I1698" s="18"/>
      <c r="J1698" s="18"/>
      <c r="K1698" s="183"/>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Proyecto</v>
      </c>
      <c r="C1699" s="85" t="str" cm="1">
        <f t="array" ref="C1699">IFERROR(INDEX('03.Muestra'!$F$8:$F$42,SMALL(IF("Página Web"='03.Muestra'!$D$8:$D$42,ROW('03.Muestra'!$F$8:$F$42)-MIN(ROW('03.Muestra'!$D$8:$D$42))+1,""),ROW()-1690)),"")</f>
        <v>https://www.comunidad.madrid/transparencia/proyecto-orden-que-se-crea-comision-farmacia-y-productos-sanitarios-cm-y-se-establece-su-composicion</v>
      </c>
      <c r="D1699" s="99" t="s">
        <v>103</v>
      </c>
      <c r="E1699" s="79" t="str">
        <f t="shared" si="88"/>
        <v/>
      </c>
      <c r="F1699" s="18"/>
      <c r="G1699" s="18"/>
      <c r="H1699" s="18"/>
      <c r="I1699" s="18"/>
      <c r="J1699" s="18"/>
      <c r="K1699" s="183"/>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Planes y Programas</v>
      </c>
      <c r="C1700" s="85" t="str" cm="1">
        <f t="array" ref="C1700">IFERROR(INDEX('03.Muestra'!$F$8:$F$42,SMALL(IF("Página Web"='03.Muestra'!$D$8:$D$42,ROW('03.Muestra'!$F$8:$F$42)-MIN(ROW('03.Muestra'!$D$8:$D$42))+1,""),ROW()-1690)),"")</f>
        <v>https://www.comunidad.madrid/transparencia/normativa-planificacion/planes-programas</v>
      </c>
      <c r="D1700" s="99" t="s">
        <v>103</v>
      </c>
      <c r="E1700" s="79" t="str">
        <f t="shared" si="88"/>
        <v/>
      </c>
      <c r="F1700" s="18"/>
      <c r="G1700" s="18"/>
      <c r="H1700" s="18"/>
      <c r="I1700" s="18"/>
      <c r="J1700" s="18"/>
      <c r="K1700" s="183"/>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Estrategia</v>
      </c>
      <c r="C1701" s="85" t="str" cm="1">
        <f t="array" ref="C1701">IFERROR(INDEX('03.Muestra'!$F$8:$F$42,SMALL(IF("Página Web"='03.Muestra'!$D$8:$D$42,ROW('03.Muestra'!$F$8:$F$42)-MIN(ROW('03.Muestra'!$D$8:$D$42))+1,""),ROW()-1690)),"")</f>
        <v>https://www.comunidad.madrid/transparencia/informacion-institucional/planes-programas/estrategia-seguridad-del-paciente-del-servicio-madrileno</v>
      </c>
      <c r="D1701" s="99" t="s">
        <v>103</v>
      </c>
      <c r="E1701" s="79" t="str">
        <f t="shared" si="88"/>
        <v/>
      </c>
      <c r="F1701" s="18"/>
      <c r="G1701" s="18"/>
      <c r="H1701" s="18"/>
      <c r="I1701" s="18"/>
      <c r="J1701" s="18"/>
      <c r="K1701" s="183"/>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Huella</v>
      </c>
      <c r="C1702" s="85" t="str" cm="1">
        <f t="array" ref="C1702">IFERROR(INDEX('03.Muestra'!$F$8:$F$42,SMALL(IF("Página Web"='03.Muestra'!$D$8:$D$42,ROW('03.Muestra'!$F$8:$F$42)-MIN(ROW('03.Muestra'!$D$8:$D$42))+1,""),ROW()-1690)),"")</f>
        <v>https://www.comunidad.madrid/transparencia/normativa-planificacion/huella-normativa</v>
      </c>
      <c r="D1702" s="99" t="s">
        <v>103</v>
      </c>
      <c r="E1702" s="79" t="str">
        <f t="shared" si="88"/>
        <v/>
      </c>
      <c r="F1702" s="18"/>
      <c r="G1702" s="18"/>
      <c r="H1702" s="18"/>
      <c r="I1702" s="18"/>
      <c r="J1702" s="18"/>
      <c r="K1702" s="183"/>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Decreto</v>
      </c>
      <c r="C1703" s="85" t="str" cm="1">
        <f t="array" ref="C1703">IFERROR(INDEX('03.Muestra'!$F$8:$F$42,SMALL(IF("Página Web"='03.Muestra'!$D$8:$D$42,ROW('03.Muestra'!$F$8:$F$42)-MIN(ROW('03.Muestra'!$D$8:$D$42))+1,""),ROW()-1690)),"")</f>
        <v>https://www.comunidad.madrid/transparencia/decreto-del-consejo-gobierno-que-se-establece-estructura-organica-consejeria-familia-juventud-y</v>
      </c>
      <c r="D1703" s="99" t="s">
        <v>103</v>
      </c>
      <c r="E1703" s="79" t="str">
        <f t="shared" si="88"/>
        <v/>
      </c>
      <c r="F1703" s="18"/>
      <c r="G1703" s="18"/>
      <c r="H1703" s="18"/>
      <c r="I1703" s="18"/>
      <c r="J1703" s="18"/>
      <c r="K1703" s="183"/>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Entidades Locales</v>
      </c>
      <c r="C1704" s="85" t="str" cm="1">
        <f t="array" ref="C1704">IFERROR(INDEX('03.Muestra'!$F$8:$F$42,SMALL(IF("Página Web"='03.Muestra'!$D$8:$D$42,ROW('03.Muestra'!$F$8:$F$42)-MIN(ROW('03.Muestra'!$D$8:$D$42))+1,""),ROW()-1690)),"")</f>
        <v>https://www.comunidad.madrid/transparencia/entidades-locales</v>
      </c>
      <c r="D1704" s="99" t="s">
        <v>103</v>
      </c>
      <c r="E1704" s="79" t="str">
        <f t="shared" si="88"/>
        <v/>
      </c>
      <c r="F1704" s="18"/>
      <c r="G1704" s="18"/>
      <c r="H1704" s="18"/>
      <c r="I1704" s="18"/>
      <c r="J1704" s="18"/>
      <c r="K1704" s="183"/>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ref="D1705:D1725" si="89">IF(AND(B1705&lt;&gt;"",C1705&lt;&gt;""),"N/T","")</f>
        <v/>
      </c>
      <c r="E1705" s="79" t="str">
        <f t="shared" si="88"/>
        <v/>
      </c>
      <c r="F1705" s="18"/>
      <c r="G1705" s="18"/>
      <c r="H1705" s="18"/>
      <c r="I1705" s="18"/>
      <c r="J1705" s="18"/>
      <c r="K1705" s="183"/>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3"/>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3"/>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3"/>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3"/>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3"/>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3"/>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3"/>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3"/>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3"/>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3"/>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3"/>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3"/>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3"/>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3"/>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3"/>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3"/>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3"/>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3"/>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3"/>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3"/>
    </row>
    <row r="1726" spans="1:11" ht="12" customHeight="1">
      <c r="B1726" s="18"/>
      <c r="C1726" s="18"/>
      <c r="D1726" s="79"/>
      <c r="E1726" s="18"/>
      <c r="F1726" s="18"/>
      <c r="G1726" s="18"/>
      <c r="H1726" s="18"/>
      <c r="I1726" s="18"/>
      <c r="J1726" s="18"/>
      <c r="K1726" s="183"/>
    </row>
    <row r="1727" spans="1:11" ht="12" customHeight="1">
      <c r="B1727" s="18"/>
      <c r="C1727" s="18"/>
      <c r="D1727" s="79"/>
      <c r="E1727" s="83"/>
      <c r="F1727" s="18"/>
      <c r="G1727" s="18"/>
      <c r="H1727" s="18"/>
      <c r="I1727" s="18"/>
      <c r="J1727" s="18"/>
      <c r="K1727" s="183"/>
    </row>
    <row r="1728" spans="1:11" ht="29.25" customHeight="1">
      <c r="A1728" s="172" t="s">
        <v>98</v>
      </c>
      <c r="B1728" s="23" t="s">
        <v>90</v>
      </c>
      <c r="C1728" s="24" t="s">
        <v>186</v>
      </c>
      <c r="D1728" s="25" t="s">
        <v>100</v>
      </c>
      <c r="E1728" s="93"/>
      <c r="K1728" s="183"/>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https://www.comunidad.madrid/transparencia/</v>
      </c>
      <c r="D1729" s="99" t="s">
        <v>103</v>
      </c>
      <c r="E1729" s="79" t="str">
        <f t="shared" ref="E1729:E1763" si="90">IF(D1729&lt;&gt;"",IF(AND(B1729&lt;&gt;"",C1729&lt;&gt;""),"","ERR"),"")</f>
        <v/>
      </c>
      <c r="F1729" s="86" t="s">
        <v>101</v>
      </c>
      <c r="G1729" s="87" t="s">
        <v>102</v>
      </c>
      <c r="H1729" s="88" t="s">
        <v>103</v>
      </c>
      <c r="I1729" s="89" t="s">
        <v>93</v>
      </c>
      <c r="J1729" s="90" t="s">
        <v>91</v>
      </c>
      <c r="K1729" s="178" t="s">
        <v>97</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Aviso legal</v>
      </c>
      <c r="C1730" s="85" t="str" cm="1">
        <f t="array" ref="C1730">IFERROR(INDEX('03.Muestra'!$F$8:$F$42,SMALL(IF("Página Web"='03.Muestra'!$D$8:$D$42,ROW('03.Muestra'!$F$8:$F$42)-MIN(ROW('03.Muestra'!$D$8:$D$42))+1,""),ROW()-1728)),"")</f>
        <v>https://www.comunidad.madrid/transparencia/aviso-legal</v>
      </c>
      <c r="D1730" s="99" t="s">
        <v>103</v>
      </c>
      <c r="E1730" s="79" t="str">
        <f t="shared" si="90"/>
        <v/>
      </c>
      <c r="F1730" s="91">
        <f ca="1">COUNTIF($D1729:INDIRECT("$D" &amp;  SUM(ROW()-1,'03.Muestra'!$D$45)-1),F1729)</f>
        <v>0</v>
      </c>
      <c r="G1730" s="91">
        <f ca="1">COUNTIF($D1729:INDIRECT("$D" &amp;  SUM(ROW()-1,'03.Muestra'!$D$45)-1),G1729)</f>
        <v>0</v>
      </c>
      <c r="H1730" s="91">
        <f ca="1">COUNTIF($D1729:INDIRECT("$D" &amp;  SUM(ROW()-1,'03.Muestra'!$D$45)-1),H1729)</f>
        <v>14</v>
      </c>
      <c r="I1730" s="91">
        <f ca="1">COUNTIF($D1729:INDIRECT("$D" &amp;  SUM(ROW()-1,'03.Muestra'!$D$45)-1),I1729)</f>
        <v>0</v>
      </c>
      <c r="J1730" s="91">
        <f ca="1">COUNTIF($D1729:INDIRECT("$D" &amp;  SUM(ROW()-1,'03.Muestra'!$D$45)-1),J1729)</f>
        <v>0</v>
      </c>
      <c r="K1730" s="179">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Accesibilidad</v>
      </c>
      <c r="C1731" s="85" t="str" cm="1">
        <f t="array" ref="C1731">IFERROR(INDEX('03.Muestra'!$F$8:$F$42,SMALL(IF("Página Web"='03.Muestra'!$D$8:$D$42,ROW('03.Muestra'!$F$8:$F$42)-MIN(ROW('03.Muestra'!$D$8:$D$42))+1,""),ROW()-1728)),"")</f>
        <v>https://www.comunidad.madrid/transparencia/declaracion-accesibilidad</v>
      </c>
      <c r="D1731" s="99" t="s">
        <v>103</v>
      </c>
      <c r="E1731" s="79" t="str">
        <f t="shared" si="90"/>
        <v/>
      </c>
      <c r="G1731" s="18"/>
      <c r="H1731" s="18"/>
      <c r="I1731" s="18"/>
      <c r="J1731" s="18"/>
      <c r="K1731" s="183"/>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Tranparencia</v>
      </c>
      <c r="C1732" s="85" t="str" cm="1">
        <f t="array" ref="C1732">IFERROR(INDEX('03.Muestra'!$F$8:$F$42,SMALL(IF("Página Web"='03.Muestra'!$D$8:$D$42,ROW('03.Muestra'!$F$8:$F$42)-MIN(ROW('03.Muestra'!$D$8:$D$42))+1,""),ROW()-1728)),"")</f>
        <v>https://www.comunidad.madrid/transparencia/que-es-transparencia</v>
      </c>
      <c r="D1732" s="99" t="s">
        <v>103</v>
      </c>
      <c r="E1732" s="79" t="str">
        <f t="shared" si="90"/>
        <v/>
      </c>
      <c r="G1732" s="18"/>
      <c r="H1732" s="18"/>
      <c r="I1732" s="18"/>
      <c r="J1732" s="18"/>
      <c r="K1732" s="183"/>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Organización</v>
      </c>
      <c r="C1733" s="85" t="str" cm="1">
        <f t="array" ref="C1733">IFERROR(INDEX('03.Muestra'!$F$8:$F$42,SMALL(IF("Página Web"='03.Muestra'!$D$8:$D$42,ROW('03.Muestra'!$F$8:$F$42)-MIN(ROW('03.Muestra'!$D$8:$D$42))+1,""),ROW()-1728)),"")</f>
        <v>https://www.comunidad.madrid/transparencia/organizacion-recursos/organizacion</v>
      </c>
      <c r="D1733" s="99" t="s">
        <v>103</v>
      </c>
      <c r="E1733" s="79" t="str">
        <f t="shared" si="90"/>
        <v/>
      </c>
      <c r="G1733" s="18"/>
      <c r="H1733" s="18"/>
      <c r="I1733" s="18"/>
      <c r="J1733" s="18"/>
      <c r="K1733" s="183"/>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Quejas</v>
      </c>
      <c r="C1734" s="85" t="str" cm="1">
        <f t="array" ref="C1734">IFERROR(INDEX('03.Muestra'!$F$8:$F$42,SMALL(IF("Página Web"='03.Muestra'!$D$8:$D$42,ROW('03.Muestra'!$F$8:$F$42)-MIN(ROW('03.Muestra'!$D$8:$D$42))+1,""),ROW()-1728)),"")</f>
        <v>https://www.comunidad.madrid/transparencia/quejas-y-reclamaciones</v>
      </c>
      <c r="D1734" s="99" t="s">
        <v>103</v>
      </c>
      <c r="E1734" s="79" t="str">
        <f t="shared" si="90"/>
        <v/>
      </c>
      <c r="G1734" s="18"/>
      <c r="H1734" s="18"/>
      <c r="I1734" s="18"/>
      <c r="J1734" s="18"/>
      <c r="K1734" s="183"/>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Contratos</v>
      </c>
      <c r="C1735" s="85" t="str" cm="1">
        <f t="array" ref="C1735">IFERROR(INDEX('03.Muestra'!$F$8:$F$42,SMALL(IF("Página Web"='03.Muestra'!$D$8:$D$42,ROW('03.Muestra'!$F$8:$F$42)-MIN(ROW('03.Muestra'!$D$8:$D$42))+1,""),ROW()-1728)),"")</f>
        <v>https://www.comunidad.madrid/transparencia/contratos</v>
      </c>
      <c r="D1735" s="99" t="s">
        <v>103</v>
      </c>
      <c r="E1735" s="79" t="str">
        <f t="shared" si="90"/>
        <v/>
      </c>
      <c r="F1735" s="18"/>
      <c r="G1735" s="18"/>
      <c r="H1735" s="18"/>
      <c r="I1735" s="18"/>
      <c r="J1735" s="18"/>
      <c r="K1735" s="183"/>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Consulta</v>
      </c>
      <c r="C1736" s="85" t="str" cm="1">
        <f t="array" ref="C1736">IFERROR(INDEX('03.Muestra'!$F$8:$F$42,SMALL(IF("Página Web"='03.Muestra'!$D$8:$D$42,ROW('03.Muestra'!$F$8:$F$42)-MIN(ROW('03.Muestra'!$D$8:$D$42))+1,""),ROW()-1728)),"")</f>
        <v>https://www.comunidad.madrid/transparencia/normativa-planificacion/consulta-publica</v>
      </c>
      <c r="D1736" s="99" t="s">
        <v>103</v>
      </c>
      <c r="E1736" s="79" t="str">
        <f t="shared" si="90"/>
        <v/>
      </c>
      <c r="F1736" s="18"/>
      <c r="G1736" s="18"/>
      <c r="H1736" s="18"/>
      <c r="I1736" s="18"/>
      <c r="J1736" s="18"/>
      <c r="K1736" s="183"/>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Proyecto</v>
      </c>
      <c r="C1737" s="85" t="str" cm="1">
        <f t="array" ref="C1737">IFERROR(INDEX('03.Muestra'!$F$8:$F$42,SMALL(IF("Página Web"='03.Muestra'!$D$8:$D$42,ROW('03.Muestra'!$F$8:$F$42)-MIN(ROW('03.Muestra'!$D$8:$D$42))+1,""),ROW()-1728)),"")</f>
        <v>https://www.comunidad.madrid/transparencia/proyecto-orden-que-se-crea-comision-farmacia-y-productos-sanitarios-cm-y-se-establece-su-composicion</v>
      </c>
      <c r="D1737" s="99" t="s">
        <v>103</v>
      </c>
      <c r="E1737" s="79" t="str">
        <f t="shared" si="90"/>
        <v/>
      </c>
      <c r="F1737" s="18"/>
      <c r="G1737" s="18"/>
      <c r="H1737" s="18"/>
      <c r="I1737" s="18"/>
      <c r="J1737" s="18"/>
      <c r="K1737" s="183"/>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Planes y Programas</v>
      </c>
      <c r="C1738" s="85" t="str" cm="1">
        <f t="array" ref="C1738">IFERROR(INDEX('03.Muestra'!$F$8:$F$42,SMALL(IF("Página Web"='03.Muestra'!$D$8:$D$42,ROW('03.Muestra'!$F$8:$F$42)-MIN(ROW('03.Muestra'!$D$8:$D$42))+1,""),ROW()-1728)),"")</f>
        <v>https://www.comunidad.madrid/transparencia/normativa-planificacion/planes-programas</v>
      </c>
      <c r="D1738" s="99" t="s">
        <v>103</v>
      </c>
      <c r="E1738" s="79" t="str">
        <f t="shared" si="90"/>
        <v/>
      </c>
      <c r="F1738" s="18"/>
      <c r="G1738" s="18"/>
      <c r="H1738" s="18"/>
      <c r="I1738" s="18"/>
      <c r="J1738" s="18"/>
      <c r="K1738" s="183"/>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Estrategia</v>
      </c>
      <c r="C1739" s="85" t="str" cm="1">
        <f t="array" ref="C1739">IFERROR(INDEX('03.Muestra'!$F$8:$F$42,SMALL(IF("Página Web"='03.Muestra'!$D$8:$D$42,ROW('03.Muestra'!$F$8:$F$42)-MIN(ROW('03.Muestra'!$D$8:$D$42))+1,""),ROW()-1728)),"")</f>
        <v>https://www.comunidad.madrid/transparencia/informacion-institucional/planes-programas/estrategia-seguridad-del-paciente-del-servicio-madrileno</v>
      </c>
      <c r="D1739" s="99" t="s">
        <v>103</v>
      </c>
      <c r="E1739" s="79" t="str">
        <f t="shared" si="90"/>
        <v/>
      </c>
      <c r="F1739" s="18"/>
      <c r="G1739" s="18"/>
      <c r="H1739" s="18"/>
      <c r="I1739" s="18"/>
      <c r="J1739" s="18"/>
      <c r="K1739" s="183"/>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Huella</v>
      </c>
      <c r="C1740" s="85" t="str" cm="1">
        <f t="array" ref="C1740">IFERROR(INDEX('03.Muestra'!$F$8:$F$42,SMALL(IF("Página Web"='03.Muestra'!$D$8:$D$42,ROW('03.Muestra'!$F$8:$F$42)-MIN(ROW('03.Muestra'!$D$8:$D$42))+1,""),ROW()-1728)),"")</f>
        <v>https://www.comunidad.madrid/transparencia/normativa-planificacion/huella-normativa</v>
      </c>
      <c r="D1740" s="99" t="s">
        <v>103</v>
      </c>
      <c r="E1740" s="79" t="str">
        <f t="shared" si="90"/>
        <v/>
      </c>
      <c r="F1740" s="18"/>
      <c r="G1740" s="18"/>
      <c r="H1740" s="18"/>
      <c r="I1740" s="18"/>
      <c r="J1740" s="18"/>
      <c r="K1740" s="183"/>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Decreto</v>
      </c>
      <c r="C1741" s="85" t="str" cm="1">
        <f t="array" ref="C1741">IFERROR(INDEX('03.Muestra'!$F$8:$F$42,SMALL(IF("Página Web"='03.Muestra'!$D$8:$D$42,ROW('03.Muestra'!$F$8:$F$42)-MIN(ROW('03.Muestra'!$D$8:$D$42))+1,""),ROW()-1728)),"")</f>
        <v>https://www.comunidad.madrid/transparencia/decreto-del-consejo-gobierno-que-se-establece-estructura-organica-consejeria-familia-juventud-y</v>
      </c>
      <c r="D1741" s="99" t="s">
        <v>103</v>
      </c>
      <c r="E1741" s="79" t="str">
        <f t="shared" si="90"/>
        <v/>
      </c>
      <c r="F1741" s="18"/>
      <c r="G1741" s="18"/>
      <c r="H1741" s="18"/>
      <c r="I1741" s="18"/>
      <c r="J1741" s="18"/>
      <c r="K1741" s="183"/>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Entidades Locales</v>
      </c>
      <c r="C1742" s="85" t="str" cm="1">
        <f t="array" ref="C1742">IFERROR(INDEX('03.Muestra'!$F$8:$F$42,SMALL(IF("Página Web"='03.Muestra'!$D$8:$D$42,ROW('03.Muestra'!$F$8:$F$42)-MIN(ROW('03.Muestra'!$D$8:$D$42))+1,""),ROW()-1728)),"")</f>
        <v>https://www.comunidad.madrid/transparencia/entidades-locales</v>
      </c>
      <c r="D1742" s="99" t="s">
        <v>103</v>
      </c>
      <c r="E1742" s="79" t="str">
        <f t="shared" si="90"/>
        <v/>
      </c>
      <c r="F1742" s="18"/>
      <c r="G1742" s="18"/>
      <c r="H1742" s="18"/>
      <c r="I1742" s="18"/>
      <c r="J1742" s="18"/>
      <c r="K1742" s="183"/>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ref="D1743:D1763" si="91">IF(AND(B1743&lt;&gt;"",C1743&lt;&gt;""),"N/T","")</f>
        <v/>
      </c>
      <c r="E1743" s="79" t="str">
        <f t="shared" si="90"/>
        <v/>
      </c>
      <c r="F1743" s="18"/>
      <c r="G1743" s="18"/>
      <c r="H1743" s="18"/>
      <c r="I1743" s="18"/>
      <c r="J1743" s="18"/>
      <c r="K1743" s="183"/>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3"/>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3"/>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3"/>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3"/>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3"/>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3"/>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3"/>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3"/>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3"/>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3"/>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3"/>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3"/>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3"/>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3"/>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3"/>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3"/>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3"/>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3"/>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3"/>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3"/>
    </row>
    <row r="1764" spans="1:11" ht="12" customHeight="1">
      <c r="B1764" s="18"/>
      <c r="C1764" s="18"/>
      <c r="D1764" s="79"/>
      <c r="E1764" s="18"/>
      <c r="F1764" s="18"/>
      <c r="G1764" s="18"/>
      <c r="H1764" s="18"/>
      <c r="I1764" s="18"/>
      <c r="J1764" s="18"/>
      <c r="K1764" s="183"/>
    </row>
    <row r="1765" spans="1:11" ht="12" customHeight="1">
      <c r="B1765" s="18"/>
      <c r="C1765" s="18"/>
      <c r="D1765" s="79"/>
      <c r="E1765" s="83"/>
      <c r="K1765" s="183"/>
    </row>
    <row r="1766" spans="1:11" ht="29.25" customHeight="1">
      <c r="A1766" s="172" t="s">
        <v>98</v>
      </c>
      <c r="B1766" s="23" t="s">
        <v>90</v>
      </c>
      <c r="C1766" s="24" t="s">
        <v>187</v>
      </c>
      <c r="D1766" s="25" t="s">
        <v>100</v>
      </c>
      <c r="E1766" s="93"/>
      <c r="K1766" s="183"/>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https://www.comunidad.madrid/transparencia/</v>
      </c>
      <c r="D1767" s="99" t="s">
        <v>91</v>
      </c>
      <c r="E1767" s="79" t="str">
        <f t="shared" ref="E1767:E1801" si="92">IF(D1767&lt;&gt;"",IF(AND(B1767&lt;&gt;"",C1767&lt;&gt;""),"","ERR"),"")</f>
        <v/>
      </c>
      <c r="F1767" s="86" t="s">
        <v>101</v>
      </c>
      <c r="G1767" s="87" t="s">
        <v>102</v>
      </c>
      <c r="H1767" s="88" t="s">
        <v>103</v>
      </c>
      <c r="I1767" s="89" t="s">
        <v>93</v>
      </c>
      <c r="J1767" s="90" t="s">
        <v>91</v>
      </c>
      <c r="K1767" s="178" t="s">
        <v>97</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Aviso legal</v>
      </c>
      <c r="C1768" s="85" t="str" cm="1">
        <f t="array" ref="C1768">IFERROR(INDEX('03.Muestra'!$F$8:$F$42,SMALL(IF("Página Web"='03.Muestra'!$D$8:$D$42,ROW('03.Muestra'!$F$8:$F$42)-MIN(ROW('03.Muestra'!$D$8:$D$42))+1,""),ROW()-1766)),"")</f>
        <v>https://www.comunidad.madrid/transparencia/aviso-legal</v>
      </c>
      <c r="D1768" s="99" t="s">
        <v>91</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14</v>
      </c>
      <c r="K1768" s="179">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Accesibilidad</v>
      </c>
      <c r="C1769" s="85" t="str" cm="1">
        <f t="array" ref="C1769">IFERROR(INDEX('03.Muestra'!$F$8:$F$42,SMALL(IF("Página Web"='03.Muestra'!$D$8:$D$42,ROW('03.Muestra'!$F$8:$F$42)-MIN(ROW('03.Muestra'!$D$8:$D$42))+1,""),ROW()-1766)),"")</f>
        <v>https://www.comunidad.madrid/transparencia/declaracion-accesibilidad</v>
      </c>
      <c r="D1769" s="99" t="s">
        <v>91</v>
      </c>
      <c r="E1769" s="79" t="str">
        <f t="shared" si="92"/>
        <v/>
      </c>
      <c r="F1769" s="18"/>
      <c r="G1769" s="18"/>
      <c r="H1769" s="18"/>
      <c r="I1769" s="18"/>
      <c r="J1769" s="18"/>
      <c r="K1769" s="183"/>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Tranparencia</v>
      </c>
      <c r="C1770" s="85" t="str" cm="1">
        <f t="array" ref="C1770">IFERROR(INDEX('03.Muestra'!$F$8:$F$42,SMALL(IF("Página Web"='03.Muestra'!$D$8:$D$42,ROW('03.Muestra'!$F$8:$F$42)-MIN(ROW('03.Muestra'!$D$8:$D$42))+1,""),ROW()-1766)),"")</f>
        <v>https://www.comunidad.madrid/transparencia/que-es-transparencia</v>
      </c>
      <c r="D1770" s="99" t="s">
        <v>91</v>
      </c>
      <c r="E1770" s="79" t="str">
        <f t="shared" si="92"/>
        <v/>
      </c>
      <c r="F1770" s="18"/>
      <c r="G1770" s="18"/>
      <c r="H1770" s="18"/>
      <c r="I1770" s="18"/>
      <c r="J1770" s="18"/>
      <c r="K1770" s="184"/>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Organización</v>
      </c>
      <c r="C1771" s="85" t="str" cm="1">
        <f t="array" ref="C1771">IFERROR(INDEX('03.Muestra'!$F$8:$F$42,SMALL(IF("Página Web"='03.Muestra'!$D$8:$D$42,ROW('03.Muestra'!$F$8:$F$42)-MIN(ROW('03.Muestra'!$D$8:$D$42))+1,""),ROW()-1766)),"")</f>
        <v>https://www.comunidad.madrid/transparencia/organizacion-recursos/organizacion</v>
      </c>
      <c r="D1771" s="99" t="s">
        <v>91</v>
      </c>
      <c r="E1771" s="79" t="str">
        <f t="shared" si="92"/>
        <v/>
      </c>
      <c r="F1771" s="78"/>
      <c r="G1771" s="18"/>
      <c r="H1771" s="18"/>
      <c r="I1771" s="18"/>
      <c r="J1771" s="18"/>
      <c r="K1771" s="184"/>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Quejas</v>
      </c>
      <c r="C1772" s="85" t="str" cm="1">
        <f t="array" ref="C1772">IFERROR(INDEX('03.Muestra'!$F$8:$F$42,SMALL(IF("Página Web"='03.Muestra'!$D$8:$D$42,ROW('03.Muestra'!$F$8:$F$42)-MIN(ROW('03.Muestra'!$D$8:$D$42))+1,""),ROW()-1766)),"")</f>
        <v>https://www.comunidad.madrid/transparencia/quejas-y-reclamaciones</v>
      </c>
      <c r="D1772" s="99" t="s">
        <v>91</v>
      </c>
      <c r="E1772" s="79" t="str">
        <f t="shared" si="92"/>
        <v/>
      </c>
      <c r="F1772" s="18"/>
      <c r="G1772" s="18"/>
      <c r="H1772" s="18"/>
      <c r="I1772" s="18"/>
      <c r="J1772" s="18"/>
      <c r="K1772" s="184"/>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Contratos</v>
      </c>
      <c r="C1773" s="85" t="str" cm="1">
        <f t="array" ref="C1773">IFERROR(INDEX('03.Muestra'!$F$8:$F$42,SMALL(IF("Página Web"='03.Muestra'!$D$8:$D$42,ROW('03.Muestra'!$F$8:$F$42)-MIN(ROW('03.Muestra'!$D$8:$D$42))+1,""),ROW()-1766)),"")</f>
        <v>https://www.comunidad.madrid/transparencia/contratos</v>
      </c>
      <c r="D1773" s="99" t="s">
        <v>91</v>
      </c>
      <c r="E1773" s="79" t="str">
        <f t="shared" si="92"/>
        <v/>
      </c>
      <c r="F1773" s="18"/>
      <c r="G1773" s="18"/>
      <c r="H1773" s="18"/>
      <c r="I1773" s="18"/>
      <c r="J1773" s="18"/>
      <c r="K1773" s="183"/>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Consulta</v>
      </c>
      <c r="C1774" s="85" t="str" cm="1">
        <f t="array" ref="C1774">IFERROR(INDEX('03.Muestra'!$F$8:$F$42,SMALL(IF("Página Web"='03.Muestra'!$D$8:$D$42,ROW('03.Muestra'!$F$8:$F$42)-MIN(ROW('03.Muestra'!$D$8:$D$42))+1,""),ROW()-1766)),"")</f>
        <v>https://www.comunidad.madrid/transparencia/normativa-planificacion/consulta-publica</v>
      </c>
      <c r="D1774" s="99" t="s">
        <v>91</v>
      </c>
      <c r="E1774" s="79" t="str">
        <f t="shared" si="92"/>
        <v/>
      </c>
      <c r="F1774" s="18"/>
      <c r="G1774" s="18"/>
      <c r="H1774" s="18"/>
      <c r="I1774" s="18"/>
      <c r="J1774" s="18"/>
      <c r="K1774" s="183"/>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Proyecto</v>
      </c>
      <c r="C1775" s="85" t="str" cm="1">
        <f t="array" ref="C1775">IFERROR(INDEX('03.Muestra'!$F$8:$F$42,SMALL(IF("Página Web"='03.Muestra'!$D$8:$D$42,ROW('03.Muestra'!$F$8:$F$42)-MIN(ROW('03.Muestra'!$D$8:$D$42))+1,""),ROW()-1766)),"")</f>
        <v>https://www.comunidad.madrid/transparencia/proyecto-orden-que-se-crea-comision-farmacia-y-productos-sanitarios-cm-y-se-establece-su-composicion</v>
      </c>
      <c r="D1775" s="99" t="s">
        <v>91</v>
      </c>
      <c r="E1775" s="79" t="str">
        <f t="shared" si="92"/>
        <v/>
      </c>
      <c r="F1775" s="18"/>
      <c r="G1775" s="18"/>
      <c r="H1775" s="18"/>
      <c r="I1775" s="18"/>
      <c r="J1775" s="18"/>
      <c r="K1775" s="183"/>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Planes y Programas</v>
      </c>
      <c r="C1776" s="85" t="str" cm="1">
        <f t="array" ref="C1776">IFERROR(INDEX('03.Muestra'!$F$8:$F$42,SMALL(IF("Página Web"='03.Muestra'!$D$8:$D$42,ROW('03.Muestra'!$F$8:$F$42)-MIN(ROW('03.Muestra'!$D$8:$D$42))+1,""),ROW()-1766)),"")</f>
        <v>https://www.comunidad.madrid/transparencia/normativa-planificacion/planes-programas</v>
      </c>
      <c r="D1776" s="99" t="s">
        <v>91</v>
      </c>
      <c r="E1776" s="79" t="str">
        <f t="shared" si="92"/>
        <v/>
      </c>
      <c r="F1776" s="18"/>
      <c r="G1776" s="18"/>
      <c r="H1776" s="18"/>
      <c r="I1776" s="18"/>
      <c r="J1776" s="18"/>
      <c r="K1776" s="183"/>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Estrategia</v>
      </c>
      <c r="C1777" s="85" t="str" cm="1">
        <f t="array" ref="C1777">IFERROR(INDEX('03.Muestra'!$F$8:$F$42,SMALL(IF("Página Web"='03.Muestra'!$D$8:$D$42,ROW('03.Muestra'!$F$8:$F$42)-MIN(ROW('03.Muestra'!$D$8:$D$42))+1,""),ROW()-1766)),"")</f>
        <v>https://www.comunidad.madrid/transparencia/informacion-institucional/planes-programas/estrategia-seguridad-del-paciente-del-servicio-madrileno</v>
      </c>
      <c r="D1777" s="99" t="s">
        <v>91</v>
      </c>
      <c r="E1777" s="79" t="str">
        <f t="shared" si="92"/>
        <v/>
      </c>
      <c r="F1777" s="18"/>
      <c r="G1777" s="18"/>
      <c r="H1777" s="18"/>
      <c r="I1777" s="18"/>
      <c r="J1777" s="18"/>
      <c r="K1777" s="183"/>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Huella</v>
      </c>
      <c r="C1778" s="85" t="str" cm="1">
        <f t="array" ref="C1778">IFERROR(INDEX('03.Muestra'!$F$8:$F$42,SMALL(IF("Página Web"='03.Muestra'!$D$8:$D$42,ROW('03.Muestra'!$F$8:$F$42)-MIN(ROW('03.Muestra'!$D$8:$D$42))+1,""),ROW()-1766)),"")</f>
        <v>https://www.comunidad.madrid/transparencia/normativa-planificacion/huella-normativa</v>
      </c>
      <c r="D1778" s="99" t="s">
        <v>91</v>
      </c>
      <c r="E1778" s="79" t="str">
        <f t="shared" si="92"/>
        <v/>
      </c>
      <c r="F1778" s="18"/>
      <c r="G1778" s="18"/>
      <c r="H1778" s="18"/>
      <c r="I1778" s="18"/>
      <c r="J1778" s="18"/>
      <c r="K1778" s="183"/>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Decreto</v>
      </c>
      <c r="C1779" s="85" t="str" cm="1">
        <f t="array" ref="C1779">IFERROR(INDEX('03.Muestra'!$F$8:$F$42,SMALL(IF("Página Web"='03.Muestra'!$D$8:$D$42,ROW('03.Muestra'!$F$8:$F$42)-MIN(ROW('03.Muestra'!$D$8:$D$42))+1,""),ROW()-1766)),"")</f>
        <v>https://www.comunidad.madrid/transparencia/decreto-del-consejo-gobierno-que-se-establece-estructura-organica-consejeria-familia-juventud-y</v>
      </c>
      <c r="D1779" s="99" t="s">
        <v>91</v>
      </c>
      <c r="E1779" s="79" t="str">
        <f t="shared" si="92"/>
        <v/>
      </c>
      <c r="F1779" s="18"/>
      <c r="G1779" s="18"/>
      <c r="H1779" s="18"/>
      <c r="I1779" s="18"/>
      <c r="J1779" s="18"/>
      <c r="K1779" s="183"/>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Entidades Locales</v>
      </c>
      <c r="C1780" s="85" t="str" cm="1">
        <f t="array" ref="C1780">IFERROR(INDEX('03.Muestra'!$F$8:$F$42,SMALL(IF("Página Web"='03.Muestra'!$D$8:$D$42,ROW('03.Muestra'!$F$8:$F$42)-MIN(ROW('03.Muestra'!$D$8:$D$42))+1,""),ROW()-1766)),"")</f>
        <v>https://www.comunidad.madrid/transparencia/entidades-locales</v>
      </c>
      <c r="D1780" s="99" t="s">
        <v>91</v>
      </c>
      <c r="E1780" s="79" t="str">
        <f t="shared" si="92"/>
        <v/>
      </c>
      <c r="F1780" s="18"/>
      <c r="G1780" s="18"/>
      <c r="H1780" s="18"/>
      <c r="I1780" s="18"/>
      <c r="J1780" s="18"/>
      <c r="K1780" s="183"/>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ref="D1781:D1801" si="93">IF(AND(B1781&lt;&gt;"",C1781&lt;&gt;""),"N/T","")</f>
        <v/>
      </c>
      <c r="E1781" s="79" t="str">
        <f t="shared" si="92"/>
        <v/>
      </c>
      <c r="F1781" s="18"/>
      <c r="G1781" s="18"/>
      <c r="H1781" s="18"/>
      <c r="I1781" s="18"/>
      <c r="J1781" s="18"/>
      <c r="K1781" s="183"/>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3"/>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3"/>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3"/>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3"/>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3"/>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3"/>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3"/>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3"/>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3"/>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3"/>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3"/>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3"/>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3"/>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3"/>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3"/>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3"/>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3"/>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3"/>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3"/>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3"/>
    </row>
    <row r="1802" spans="1:11" ht="12" customHeight="1">
      <c r="B1802" s="18"/>
      <c r="C1802" s="18"/>
      <c r="D1802" s="79"/>
      <c r="E1802" s="18"/>
      <c r="F1802" s="18"/>
      <c r="G1802" s="18"/>
      <c r="H1802" s="18"/>
      <c r="I1802" s="18"/>
      <c r="J1802" s="18"/>
      <c r="K1802" s="183"/>
    </row>
    <row r="1803" spans="1:11" ht="12" customHeight="1">
      <c r="B1803" s="18"/>
      <c r="C1803" s="18"/>
      <c r="D1803" s="79"/>
      <c r="E1803" s="83"/>
      <c r="F1803" s="18"/>
      <c r="G1803" s="18"/>
      <c r="H1803" s="18"/>
      <c r="I1803" s="18"/>
      <c r="J1803" s="18"/>
      <c r="K1803" s="183"/>
    </row>
    <row r="1804" spans="1:11" ht="29.25" customHeight="1">
      <c r="A1804" s="172" t="s">
        <v>98</v>
      </c>
      <c r="B1804" s="23" t="s">
        <v>90</v>
      </c>
      <c r="C1804" s="24" t="s">
        <v>188</v>
      </c>
      <c r="D1804" s="25" t="s">
        <v>100</v>
      </c>
      <c r="E1804" s="93"/>
      <c r="K1804" s="183"/>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https://www.comunidad.madrid/transparencia/</v>
      </c>
      <c r="D1805" s="99" t="s">
        <v>93</v>
      </c>
      <c r="E1805" s="79" t="str">
        <f t="shared" ref="E1805:E1839" si="94">IF(D1805&lt;&gt;"",IF(AND(B1805&lt;&gt;"",C1805&lt;&gt;""),"","ERR"),"")</f>
        <v/>
      </c>
      <c r="F1805" s="86" t="s">
        <v>101</v>
      </c>
      <c r="G1805" s="87" t="s">
        <v>102</v>
      </c>
      <c r="H1805" s="88" t="s">
        <v>103</v>
      </c>
      <c r="I1805" s="89" t="s">
        <v>93</v>
      </c>
      <c r="J1805" s="90" t="s">
        <v>91</v>
      </c>
      <c r="K1805" s="178" t="s">
        <v>97</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Aviso legal</v>
      </c>
      <c r="C1806" s="85" t="str" cm="1">
        <f t="array" ref="C1806">IFERROR(INDEX('03.Muestra'!$F$8:$F$42,SMALL(IF("Página Web"='03.Muestra'!$D$8:$D$42,ROW('03.Muestra'!$F$8:$F$42)-MIN(ROW('03.Muestra'!$D$8:$D$42))+1,""),ROW()-1804)),"")</f>
        <v>https://www.comunidad.madrid/transparencia/aviso-legal</v>
      </c>
      <c r="D1806" s="99" t="s">
        <v>91</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2</v>
      </c>
      <c r="J1806" s="91">
        <f ca="1">COUNTIF($D1805:INDIRECT("$D" &amp;  SUM(ROW()-1,'03.Muestra'!$D$45)-1),J1805)</f>
        <v>12</v>
      </c>
      <c r="K1806" s="179">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Accesibilidad</v>
      </c>
      <c r="C1807" s="85" t="str" cm="1">
        <f t="array" ref="C1807">IFERROR(INDEX('03.Muestra'!$F$8:$F$42,SMALL(IF("Página Web"='03.Muestra'!$D$8:$D$42,ROW('03.Muestra'!$F$8:$F$42)-MIN(ROW('03.Muestra'!$D$8:$D$42))+1,""),ROW()-1804)),"")</f>
        <v>https://www.comunidad.madrid/transparencia/declaracion-accesibilidad</v>
      </c>
      <c r="D1807" s="99" t="s">
        <v>91</v>
      </c>
      <c r="E1807" s="79" t="str">
        <f t="shared" si="94"/>
        <v/>
      </c>
      <c r="G1807" s="18"/>
      <c r="H1807" s="18"/>
      <c r="I1807" s="18"/>
      <c r="J1807" s="18"/>
      <c r="K1807" s="183"/>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Tranparencia</v>
      </c>
      <c r="C1808" s="85" t="str" cm="1">
        <f t="array" ref="C1808">IFERROR(INDEX('03.Muestra'!$F$8:$F$42,SMALL(IF("Página Web"='03.Muestra'!$D$8:$D$42,ROW('03.Muestra'!$F$8:$F$42)-MIN(ROW('03.Muestra'!$D$8:$D$42))+1,""),ROW()-1804)),"")</f>
        <v>https://www.comunidad.madrid/transparencia/que-es-transparencia</v>
      </c>
      <c r="D1808" s="99" t="s">
        <v>91</v>
      </c>
      <c r="E1808" s="79" t="str">
        <f t="shared" si="94"/>
        <v/>
      </c>
      <c r="G1808" s="18"/>
      <c r="H1808" s="18"/>
      <c r="I1808" s="18"/>
      <c r="J1808" s="18"/>
      <c r="K1808" s="183"/>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Organización</v>
      </c>
      <c r="C1809" s="85" t="str" cm="1">
        <f t="array" ref="C1809">IFERROR(INDEX('03.Muestra'!$F$8:$F$42,SMALL(IF("Página Web"='03.Muestra'!$D$8:$D$42,ROW('03.Muestra'!$F$8:$F$42)-MIN(ROW('03.Muestra'!$D$8:$D$42))+1,""),ROW()-1804)),"")</f>
        <v>https://www.comunidad.madrid/transparencia/organizacion-recursos/organizacion</v>
      </c>
      <c r="D1809" s="99" t="s">
        <v>91</v>
      </c>
      <c r="E1809" s="79" t="str">
        <f t="shared" si="94"/>
        <v/>
      </c>
      <c r="G1809" s="18"/>
      <c r="H1809" s="18"/>
      <c r="I1809" s="18"/>
      <c r="J1809" s="18"/>
      <c r="K1809" s="183"/>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Quejas</v>
      </c>
      <c r="C1810" s="85" t="str" cm="1">
        <f t="array" ref="C1810">IFERROR(INDEX('03.Muestra'!$F$8:$F$42,SMALL(IF("Página Web"='03.Muestra'!$D$8:$D$42,ROW('03.Muestra'!$F$8:$F$42)-MIN(ROW('03.Muestra'!$D$8:$D$42))+1,""),ROW()-1804)),"")</f>
        <v>https://www.comunidad.madrid/transparencia/quejas-y-reclamaciones</v>
      </c>
      <c r="D1810" s="99" t="s">
        <v>91</v>
      </c>
      <c r="E1810" s="79" t="str">
        <f t="shared" si="94"/>
        <v/>
      </c>
      <c r="G1810" s="18"/>
      <c r="H1810" s="18"/>
      <c r="I1810" s="18"/>
      <c r="J1810" s="18"/>
      <c r="K1810" s="183"/>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Contratos</v>
      </c>
      <c r="C1811" s="85" t="str" cm="1">
        <f t="array" ref="C1811">IFERROR(INDEX('03.Muestra'!$F$8:$F$42,SMALL(IF("Página Web"='03.Muestra'!$D$8:$D$42,ROW('03.Muestra'!$F$8:$F$42)-MIN(ROW('03.Muestra'!$D$8:$D$42))+1,""),ROW()-1804)),"")</f>
        <v>https://www.comunidad.madrid/transparencia/contratos</v>
      </c>
      <c r="D1811" s="99" t="s">
        <v>91</v>
      </c>
      <c r="E1811" s="79" t="str">
        <f t="shared" si="94"/>
        <v/>
      </c>
      <c r="F1811" s="18"/>
      <c r="G1811" s="18"/>
      <c r="H1811" s="18"/>
      <c r="I1811" s="18"/>
      <c r="J1811" s="18"/>
      <c r="K1811" s="183"/>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Consulta</v>
      </c>
      <c r="C1812" s="85" t="str" cm="1">
        <f t="array" ref="C1812">IFERROR(INDEX('03.Muestra'!$F$8:$F$42,SMALL(IF("Página Web"='03.Muestra'!$D$8:$D$42,ROW('03.Muestra'!$F$8:$F$42)-MIN(ROW('03.Muestra'!$D$8:$D$42))+1,""),ROW()-1804)),"")</f>
        <v>https://www.comunidad.madrid/transparencia/normativa-planificacion/consulta-publica</v>
      </c>
      <c r="D1812" s="99" t="s">
        <v>93</v>
      </c>
      <c r="E1812" s="79" t="str">
        <f t="shared" si="94"/>
        <v/>
      </c>
      <c r="F1812" s="18"/>
      <c r="G1812" s="18"/>
      <c r="H1812" s="18"/>
      <c r="I1812" s="18"/>
      <c r="J1812" s="18"/>
      <c r="K1812" s="183"/>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Proyecto</v>
      </c>
      <c r="C1813" s="85" t="str" cm="1">
        <f t="array" ref="C1813">IFERROR(INDEX('03.Muestra'!$F$8:$F$42,SMALL(IF("Página Web"='03.Muestra'!$D$8:$D$42,ROW('03.Muestra'!$F$8:$F$42)-MIN(ROW('03.Muestra'!$D$8:$D$42))+1,""),ROW()-1804)),"")</f>
        <v>https://www.comunidad.madrid/transparencia/proyecto-orden-que-se-crea-comision-farmacia-y-productos-sanitarios-cm-y-se-establece-su-composicion</v>
      </c>
      <c r="D1813" s="99" t="s">
        <v>91</v>
      </c>
      <c r="E1813" s="79" t="str">
        <f t="shared" si="94"/>
        <v/>
      </c>
      <c r="F1813" s="18"/>
      <c r="G1813" s="18"/>
      <c r="H1813" s="18"/>
      <c r="I1813" s="18"/>
      <c r="J1813" s="18"/>
      <c r="K1813" s="183"/>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Planes y Programas</v>
      </c>
      <c r="C1814" s="85" t="str" cm="1">
        <f t="array" ref="C1814">IFERROR(INDEX('03.Muestra'!$F$8:$F$42,SMALL(IF("Página Web"='03.Muestra'!$D$8:$D$42,ROW('03.Muestra'!$F$8:$F$42)-MIN(ROW('03.Muestra'!$D$8:$D$42))+1,""),ROW()-1804)),"")</f>
        <v>https://www.comunidad.madrid/transparencia/normativa-planificacion/planes-programas</v>
      </c>
      <c r="D1814" s="99" t="s">
        <v>91</v>
      </c>
      <c r="E1814" s="79" t="str">
        <f t="shared" si="94"/>
        <v/>
      </c>
      <c r="F1814" s="18"/>
      <c r="G1814" s="18"/>
      <c r="H1814" s="18"/>
      <c r="I1814" s="18"/>
      <c r="J1814" s="18"/>
      <c r="K1814" s="183"/>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Estrategia</v>
      </c>
      <c r="C1815" s="85" t="str" cm="1">
        <f t="array" ref="C1815">IFERROR(INDEX('03.Muestra'!$F$8:$F$42,SMALL(IF("Página Web"='03.Muestra'!$D$8:$D$42,ROW('03.Muestra'!$F$8:$F$42)-MIN(ROW('03.Muestra'!$D$8:$D$42))+1,""),ROW()-1804)),"")</f>
        <v>https://www.comunidad.madrid/transparencia/informacion-institucional/planes-programas/estrategia-seguridad-del-paciente-del-servicio-madrileno</v>
      </c>
      <c r="D1815" s="99" t="s">
        <v>91</v>
      </c>
      <c r="E1815" s="79" t="str">
        <f t="shared" si="94"/>
        <v/>
      </c>
      <c r="F1815" s="18"/>
      <c r="G1815" s="18"/>
      <c r="H1815" s="18"/>
      <c r="I1815" s="18"/>
      <c r="J1815" s="18"/>
      <c r="K1815" s="183"/>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Huella</v>
      </c>
      <c r="C1816" s="85" t="str" cm="1">
        <f t="array" ref="C1816">IFERROR(INDEX('03.Muestra'!$F$8:$F$42,SMALL(IF("Página Web"='03.Muestra'!$D$8:$D$42,ROW('03.Muestra'!$F$8:$F$42)-MIN(ROW('03.Muestra'!$D$8:$D$42))+1,""),ROW()-1804)),"")</f>
        <v>https://www.comunidad.madrid/transparencia/normativa-planificacion/huella-normativa</v>
      </c>
      <c r="D1816" s="99" t="s">
        <v>91</v>
      </c>
      <c r="E1816" s="79" t="str">
        <f t="shared" si="94"/>
        <v/>
      </c>
      <c r="F1816" s="18"/>
      <c r="G1816" s="18"/>
      <c r="H1816" s="18"/>
      <c r="I1816" s="18"/>
      <c r="J1816" s="18"/>
      <c r="K1816" s="183"/>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Decreto</v>
      </c>
      <c r="C1817" s="85" t="str" cm="1">
        <f t="array" ref="C1817">IFERROR(INDEX('03.Muestra'!$F$8:$F$42,SMALL(IF("Página Web"='03.Muestra'!$D$8:$D$42,ROW('03.Muestra'!$F$8:$F$42)-MIN(ROW('03.Muestra'!$D$8:$D$42))+1,""),ROW()-1804)),"")</f>
        <v>https://www.comunidad.madrid/transparencia/decreto-del-consejo-gobierno-que-se-establece-estructura-organica-consejeria-familia-juventud-y</v>
      </c>
      <c r="D1817" s="99" t="s">
        <v>91</v>
      </c>
      <c r="E1817" s="79" t="str">
        <f t="shared" si="94"/>
        <v/>
      </c>
      <c r="F1817" s="18"/>
      <c r="G1817" s="18"/>
      <c r="H1817" s="18"/>
      <c r="I1817" s="18"/>
      <c r="J1817" s="18"/>
      <c r="K1817" s="183"/>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Entidades Locales</v>
      </c>
      <c r="C1818" s="85" t="str" cm="1">
        <f t="array" ref="C1818">IFERROR(INDEX('03.Muestra'!$F$8:$F$42,SMALL(IF("Página Web"='03.Muestra'!$D$8:$D$42,ROW('03.Muestra'!$F$8:$F$42)-MIN(ROW('03.Muestra'!$D$8:$D$42))+1,""),ROW()-1804)),"")</f>
        <v>https://www.comunidad.madrid/transparencia/entidades-locales</v>
      </c>
      <c r="D1818" s="99" t="s">
        <v>91</v>
      </c>
      <c r="E1818" s="79" t="str">
        <f t="shared" si="94"/>
        <v/>
      </c>
      <c r="F1818" s="18"/>
      <c r="G1818" s="18"/>
      <c r="H1818" s="18"/>
      <c r="I1818" s="18"/>
      <c r="J1818" s="18"/>
      <c r="K1818" s="183"/>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ref="D1819:D1839" si="95">IF(AND(B1819&lt;&gt;"",C1819&lt;&gt;""),"N/T","")</f>
        <v/>
      </c>
      <c r="E1819" s="79" t="str">
        <f t="shared" si="94"/>
        <v/>
      </c>
      <c r="F1819" s="18"/>
      <c r="G1819" s="18"/>
      <c r="H1819" s="18"/>
      <c r="I1819" s="18"/>
      <c r="J1819" s="18"/>
      <c r="K1819" s="183"/>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3"/>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3"/>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3"/>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3"/>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3"/>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3"/>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3"/>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3"/>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3"/>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3"/>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3"/>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3"/>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3"/>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3"/>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3"/>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3"/>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3"/>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3"/>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3"/>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3"/>
    </row>
    <row r="1840" spans="1:11" ht="12" customHeight="1">
      <c r="B1840" s="18"/>
      <c r="C1840" s="18"/>
      <c r="D1840" s="79"/>
      <c r="E1840" s="18"/>
      <c r="F1840" s="18"/>
      <c r="G1840" s="18"/>
      <c r="H1840" s="18"/>
      <c r="I1840" s="18"/>
      <c r="J1840" s="18"/>
      <c r="K1840" s="183"/>
    </row>
    <row r="1841" spans="1:11" ht="12" customHeight="1">
      <c r="B1841" s="18"/>
      <c r="C1841" s="18"/>
      <c r="D1841" s="79"/>
      <c r="E1841" s="83"/>
      <c r="F1841" s="18"/>
      <c r="G1841" s="18"/>
      <c r="H1841" s="18"/>
      <c r="I1841" s="18"/>
      <c r="J1841" s="18"/>
      <c r="K1841" s="183"/>
    </row>
    <row r="1842" spans="1:11" ht="29.25" customHeight="1">
      <c r="A1842" s="172" t="s">
        <v>98</v>
      </c>
      <c r="B1842" s="23" t="s">
        <v>90</v>
      </c>
      <c r="C1842" s="24" t="s">
        <v>189</v>
      </c>
      <c r="D1842" s="25" t="s">
        <v>100</v>
      </c>
      <c r="E1842" s="93"/>
      <c r="K1842" s="183"/>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https://www.comunidad.madrid/transparencia/</v>
      </c>
      <c r="D1843" s="215" t="s">
        <v>103</v>
      </c>
      <c r="E1843" s="79" t="str">
        <f t="shared" ref="E1843:E1877" si="96">IF(D1843&lt;&gt;"",IF(AND(B1843&lt;&gt;"",C1843&lt;&gt;""),"","ERR"),"")</f>
        <v/>
      </c>
      <c r="F1843" s="86" t="s">
        <v>101</v>
      </c>
      <c r="G1843" s="87" t="s">
        <v>102</v>
      </c>
      <c r="H1843" s="88" t="s">
        <v>103</v>
      </c>
      <c r="I1843" s="89" t="s">
        <v>93</v>
      </c>
      <c r="J1843" s="90" t="s">
        <v>91</v>
      </c>
      <c r="K1843" s="178" t="s">
        <v>97</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Aviso legal</v>
      </c>
      <c r="C1844" s="85" t="str" cm="1">
        <f t="array" ref="C1844">IFERROR(INDEX('03.Muestra'!$F$8:$F$42,SMALL(IF("Página Web"='03.Muestra'!$D$8:$D$42,ROW('03.Muestra'!$F$8:$F$42)-MIN(ROW('03.Muestra'!$D$8:$D$42))+1,""),ROW()-1842)),"")</f>
        <v>https://www.comunidad.madrid/transparencia/aviso-legal</v>
      </c>
      <c r="D1844" s="99" t="s">
        <v>103</v>
      </c>
      <c r="E1844" s="79" t="str">
        <f t="shared" si="96"/>
        <v/>
      </c>
      <c r="F1844" s="91">
        <f ca="1">COUNTIF($D1843:INDIRECT("$D" &amp;  SUM(ROW()-1,'03.Muestra'!$D$45)-1),F1843)</f>
        <v>0</v>
      </c>
      <c r="G1844" s="91">
        <f ca="1">COUNTIF($D1843:INDIRECT("$D" &amp;  SUM(ROW()-1,'03.Muestra'!$D$45)-1),G1843)</f>
        <v>0</v>
      </c>
      <c r="H1844" s="91">
        <f ca="1">COUNTIF($D1843:INDIRECT("$D" &amp;  SUM(ROW()-1,'03.Muestra'!$D$45)-1),H1843)</f>
        <v>14</v>
      </c>
      <c r="I1844" s="91">
        <f ca="1">COUNTIF($D1843:INDIRECT("$D" &amp;  SUM(ROW()-1,'03.Muestra'!$D$45)-1),I1843)</f>
        <v>0</v>
      </c>
      <c r="J1844" s="91">
        <f ca="1">COUNTIF($D1843:INDIRECT("$D" &amp;  SUM(ROW()-1,'03.Muestra'!$D$45)-1),J1843)</f>
        <v>0</v>
      </c>
      <c r="K1844" s="179">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Accesibilidad</v>
      </c>
      <c r="C1845" s="85" t="str" cm="1">
        <f t="array" ref="C1845">IFERROR(INDEX('03.Muestra'!$F$8:$F$42,SMALL(IF("Página Web"='03.Muestra'!$D$8:$D$42,ROW('03.Muestra'!$F$8:$F$42)-MIN(ROW('03.Muestra'!$D$8:$D$42))+1,""),ROW()-1842)),"")</f>
        <v>https://www.comunidad.madrid/transparencia/declaracion-accesibilidad</v>
      </c>
      <c r="D1845" s="99" t="s">
        <v>103</v>
      </c>
      <c r="E1845" s="79" t="str">
        <f t="shared" si="96"/>
        <v/>
      </c>
      <c r="G1845" s="18"/>
      <c r="H1845" s="18"/>
      <c r="I1845" s="18"/>
      <c r="J1845" s="18"/>
      <c r="K1845" s="183"/>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Tranparencia</v>
      </c>
      <c r="C1846" s="85" t="str" cm="1">
        <f t="array" ref="C1846">IFERROR(INDEX('03.Muestra'!$F$8:$F$42,SMALL(IF("Página Web"='03.Muestra'!$D$8:$D$42,ROW('03.Muestra'!$F$8:$F$42)-MIN(ROW('03.Muestra'!$D$8:$D$42))+1,""),ROW()-1842)),"")</f>
        <v>https://www.comunidad.madrid/transparencia/que-es-transparencia</v>
      </c>
      <c r="D1846" s="99" t="s">
        <v>103</v>
      </c>
      <c r="E1846" s="79" t="str">
        <f t="shared" si="96"/>
        <v/>
      </c>
      <c r="G1846" s="18"/>
      <c r="H1846" s="18"/>
      <c r="I1846" s="18"/>
      <c r="J1846" s="18"/>
      <c r="K1846" s="183"/>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Organización</v>
      </c>
      <c r="C1847" s="85" t="str" cm="1">
        <f t="array" ref="C1847">IFERROR(INDEX('03.Muestra'!$F$8:$F$42,SMALL(IF("Página Web"='03.Muestra'!$D$8:$D$42,ROW('03.Muestra'!$F$8:$F$42)-MIN(ROW('03.Muestra'!$D$8:$D$42))+1,""),ROW()-1842)),"")</f>
        <v>https://www.comunidad.madrid/transparencia/organizacion-recursos/organizacion</v>
      </c>
      <c r="D1847" s="99" t="s">
        <v>103</v>
      </c>
      <c r="E1847" s="79" t="str">
        <f t="shared" si="96"/>
        <v/>
      </c>
      <c r="G1847" s="18"/>
      <c r="H1847" s="18"/>
      <c r="I1847" s="18"/>
      <c r="J1847" s="18"/>
      <c r="K1847" s="183"/>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Quejas</v>
      </c>
      <c r="C1848" s="85" t="str" cm="1">
        <f t="array" ref="C1848">IFERROR(INDEX('03.Muestra'!$F$8:$F$42,SMALL(IF("Página Web"='03.Muestra'!$D$8:$D$42,ROW('03.Muestra'!$F$8:$F$42)-MIN(ROW('03.Muestra'!$D$8:$D$42))+1,""),ROW()-1842)),"")</f>
        <v>https://www.comunidad.madrid/transparencia/quejas-y-reclamaciones</v>
      </c>
      <c r="D1848" s="99" t="s">
        <v>103</v>
      </c>
      <c r="E1848" s="79" t="str">
        <f t="shared" si="96"/>
        <v/>
      </c>
      <c r="G1848" s="18"/>
      <c r="H1848" s="18"/>
      <c r="I1848" s="18"/>
      <c r="J1848" s="18"/>
      <c r="K1848" s="183"/>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Contratos</v>
      </c>
      <c r="C1849" s="85" t="str" cm="1">
        <f t="array" ref="C1849">IFERROR(INDEX('03.Muestra'!$F$8:$F$42,SMALL(IF("Página Web"='03.Muestra'!$D$8:$D$42,ROW('03.Muestra'!$F$8:$F$42)-MIN(ROW('03.Muestra'!$D$8:$D$42))+1,""),ROW()-1842)),"")</f>
        <v>https://www.comunidad.madrid/transparencia/contratos</v>
      </c>
      <c r="D1849" s="99" t="s">
        <v>103</v>
      </c>
      <c r="E1849" s="79" t="str">
        <f t="shared" si="96"/>
        <v/>
      </c>
      <c r="F1849" s="18"/>
      <c r="G1849" s="18"/>
      <c r="H1849" s="18"/>
      <c r="I1849" s="18"/>
      <c r="J1849" s="18"/>
      <c r="K1849" s="183"/>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Consulta</v>
      </c>
      <c r="C1850" s="85" t="str" cm="1">
        <f t="array" ref="C1850">IFERROR(INDEX('03.Muestra'!$F$8:$F$42,SMALL(IF("Página Web"='03.Muestra'!$D$8:$D$42,ROW('03.Muestra'!$F$8:$F$42)-MIN(ROW('03.Muestra'!$D$8:$D$42))+1,""),ROW()-1842)),"")</f>
        <v>https://www.comunidad.madrid/transparencia/normativa-planificacion/consulta-publica</v>
      </c>
      <c r="D1850" s="99" t="s">
        <v>103</v>
      </c>
      <c r="E1850" s="79" t="str">
        <f t="shared" si="96"/>
        <v/>
      </c>
      <c r="F1850" s="18"/>
      <c r="G1850" s="18"/>
      <c r="H1850" s="18"/>
      <c r="I1850" s="18"/>
      <c r="J1850" s="18"/>
      <c r="K1850" s="183"/>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Proyecto</v>
      </c>
      <c r="C1851" s="85" t="str" cm="1">
        <f t="array" ref="C1851">IFERROR(INDEX('03.Muestra'!$F$8:$F$42,SMALL(IF("Página Web"='03.Muestra'!$D$8:$D$42,ROW('03.Muestra'!$F$8:$F$42)-MIN(ROW('03.Muestra'!$D$8:$D$42))+1,""),ROW()-1842)),"")</f>
        <v>https://www.comunidad.madrid/transparencia/proyecto-orden-que-se-crea-comision-farmacia-y-productos-sanitarios-cm-y-se-establece-su-composicion</v>
      </c>
      <c r="D1851" s="99" t="s">
        <v>103</v>
      </c>
      <c r="E1851" s="79" t="str">
        <f t="shared" si="96"/>
        <v/>
      </c>
      <c r="F1851" s="18"/>
      <c r="G1851" s="18"/>
      <c r="H1851" s="18"/>
      <c r="I1851" s="18"/>
      <c r="J1851" s="18"/>
      <c r="K1851" s="183"/>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Planes y Programas</v>
      </c>
      <c r="C1852" s="85" t="str" cm="1">
        <f t="array" ref="C1852">IFERROR(INDEX('03.Muestra'!$F$8:$F$42,SMALL(IF("Página Web"='03.Muestra'!$D$8:$D$42,ROW('03.Muestra'!$F$8:$F$42)-MIN(ROW('03.Muestra'!$D$8:$D$42))+1,""),ROW()-1842)),"")</f>
        <v>https://www.comunidad.madrid/transparencia/normativa-planificacion/planes-programas</v>
      </c>
      <c r="D1852" s="99" t="s">
        <v>103</v>
      </c>
      <c r="E1852" s="79" t="str">
        <f t="shared" si="96"/>
        <v/>
      </c>
      <c r="F1852" s="18"/>
      <c r="G1852" s="18"/>
      <c r="H1852" s="18"/>
      <c r="I1852" s="18"/>
      <c r="J1852" s="18"/>
      <c r="K1852" s="183"/>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Estrategia</v>
      </c>
      <c r="C1853" s="85" t="str" cm="1">
        <f t="array" ref="C1853">IFERROR(INDEX('03.Muestra'!$F$8:$F$42,SMALL(IF("Página Web"='03.Muestra'!$D$8:$D$42,ROW('03.Muestra'!$F$8:$F$42)-MIN(ROW('03.Muestra'!$D$8:$D$42))+1,""),ROW()-1842)),"")</f>
        <v>https://www.comunidad.madrid/transparencia/informacion-institucional/planes-programas/estrategia-seguridad-del-paciente-del-servicio-madrileno</v>
      </c>
      <c r="D1853" s="99" t="s">
        <v>103</v>
      </c>
      <c r="E1853" s="79" t="str">
        <f t="shared" si="96"/>
        <v/>
      </c>
      <c r="F1853" s="18"/>
      <c r="G1853" s="18"/>
      <c r="H1853" s="18"/>
      <c r="I1853" s="18"/>
      <c r="J1853" s="18"/>
      <c r="K1853" s="183"/>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Huella</v>
      </c>
      <c r="C1854" s="85" t="str" cm="1">
        <f t="array" ref="C1854">IFERROR(INDEX('03.Muestra'!$F$8:$F$42,SMALL(IF("Página Web"='03.Muestra'!$D$8:$D$42,ROW('03.Muestra'!$F$8:$F$42)-MIN(ROW('03.Muestra'!$D$8:$D$42))+1,""),ROW()-1842)),"")</f>
        <v>https://www.comunidad.madrid/transparencia/normativa-planificacion/huella-normativa</v>
      </c>
      <c r="D1854" s="99" t="s">
        <v>103</v>
      </c>
      <c r="E1854" s="79" t="str">
        <f t="shared" si="96"/>
        <v/>
      </c>
      <c r="F1854" s="18"/>
      <c r="G1854" s="18"/>
      <c r="H1854" s="18"/>
      <c r="I1854" s="18"/>
      <c r="J1854" s="18"/>
      <c r="K1854" s="183"/>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Decreto</v>
      </c>
      <c r="C1855" s="85" t="str" cm="1">
        <f t="array" ref="C1855">IFERROR(INDEX('03.Muestra'!$F$8:$F$42,SMALL(IF("Página Web"='03.Muestra'!$D$8:$D$42,ROW('03.Muestra'!$F$8:$F$42)-MIN(ROW('03.Muestra'!$D$8:$D$42))+1,""),ROW()-1842)),"")</f>
        <v>https://www.comunidad.madrid/transparencia/decreto-del-consejo-gobierno-que-se-establece-estructura-organica-consejeria-familia-juventud-y</v>
      </c>
      <c r="D1855" s="99" t="s">
        <v>103</v>
      </c>
      <c r="E1855" s="79" t="str">
        <f t="shared" si="96"/>
        <v/>
      </c>
      <c r="F1855" s="18"/>
      <c r="G1855" s="18"/>
      <c r="H1855" s="18"/>
      <c r="I1855" s="18"/>
      <c r="J1855" s="18"/>
      <c r="K1855" s="183"/>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Entidades Locales</v>
      </c>
      <c r="C1856" s="85" t="str" cm="1">
        <f t="array" ref="C1856">IFERROR(INDEX('03.Muestra'!$F$8:$F$42,SMALL(IF("Página Web"='03.Muestra'!$D$8:$D$42,ROW('03.Muestra'!$F$8:$F$42)-MIN(ROW('03.Muestra'!$D$8:$D$42))+1,""),ROW()-1842)),"")</f>
        <v>https://www.comunidad.madrid/transparencia/entidades-locales</v>
      </c>
      <c r="D1856" s="99" t="s">
        <v>103</v>
      </c>
      <c r="E1856" s="79" t="str">
        <f t="shared" si="96"/>
        <v/>
      </c>
      <c r="F1856" s="18"/>
      <c r="G1856" s="18"/>
      <c r="H1856" s="18"/>
      <c r="I1856" s="18"/>
      <c r="J1856" s="18"/>
      <c r="K1856" s="183"/>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ref="D1857:D1877" si="97">IF(AND(B1857&lt;&gt;"",C1857&lt;&gt;""),"N/T","")</f>
        <v/>
      </c>
      <c r="E1857" s="79" t="str">
        <f t="shared" si="96"/>
        <v/>
      </c>
      <c r="F1857" s="18"/>
      <c r="G1857" s="18"/>
      <c r="H1857" s="18"/>
      <c r="I1857" s="18"/>
      <c r="J1857" s="18"/>
      <c r="K1857" s="183"/>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3"/>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3"/>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3"/>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3"/>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3"/>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3"/>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3"/>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3"/>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3"/>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3"/>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3"/>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3"/>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3"/>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3"/>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3"/>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3"/>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3"/>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3"/>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3"/>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3"/>
    </row>
    <row r="1878" spans="1:11" ht="14.5">
      <c r="B1878" s="18"/>
      <c r="C1878" s="18"/>
      <c r="D1878" s="79"/>
      <c r="E1878" s="18"/>
      <c r="F1878" s="18"/>
      <c r="G1878" s="18"/>
      <c r="H1878" s="18"/>
      <c r="I1878" s="18"/>
      <c r="J1878" s="18"/>
      <c r="K1878" s="183"/>
    </row>
    <row r="1879" spans="1:11" ht="12" customHeight="1">
      <c r="B1879" s="18"/>
      <c r="C1879" s="18"/>
      <c r="D1879" s="79"/>
      <c r="E1879" s="83"/>
      <c r="F1879" s="18"/>
      <c r="G1879" s="18"/>
      <c r="H1879" s="18"/>
      <c r="I1879" s="18"/>
      <c r="J1879" s="18"/>
      <c r="K1879" s="183"/>
    </row>
    <row r="1880" spans="1:11" ht="29.25" customHeight="1">
      <c r="A1880" s="172" t="s">
        <v>98</v>
      </c>
      <c r="B1880" s="23" t="s">
        <v>90</v>
      </c>
      <c r="C1880" s="24" t="s">
        <v>190</v>
      </c>
      <c r="D1880" s="25" t="s">
        <v>100</v>
      </c>
      <c r="E1880" s="93"/>
      <c r="K1880" s="183"/>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https://www.comunidad.madrid/transparencia/</v>
      </c>
      <c r="D1881" s="99" t="s">
        <v>93</v>
      </c>
      <c r="E1881" s="79" t="str">
        <f t="shared" ref="E1881:E1915" si="98">IF(D1881&lt;&gt;"",IF(AND(B1881&lt;&gt;"",C1881&lt;&gt;""),"","ERR"),"")</f>
        <v/>
      </c>
      <c r="F1881" s="86" t="s">
        <v>101</v>
      </c>
      <c r="G1881" s="87" t="s">
        <v>102</v>
      </c>
      <c r="H1881" s="88" t="s">
        <v>103</v>
      </c>
      <c r="I1881" s="89" t="s">
        <v>93</v>
      </c>
      <c r="J1881" s="90" t="s">
        <v>91</v>
      </c>
      <c r="K1881" s="178" t="s">
        <v>97</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Aviso legal</v>
      </c>
      <c r="C1882" s="85" t="str" cm="1">
        <f t="array" ref="C1882">IFERROR(INDEX('03.Muestra'!$F$8:$F$42,SMALL(IF("Página Web"='03.Muestra'!$D$8:$D$42,ROW('03.Muestra'!$F$8:$F$42)-MIN(ROW('03.Muestra'!$D$8:$D$42))+1,""),ROW()-1880)),"")</f>
        <v>https://www.comunidad.madrid/transparencia/aviso-legal</v>
      </c>
      <c r="D1882" s="99" t="s">
        <v>93</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14</v>
      </c>
      <c r="J1882" s="91">
        <f ca="1">COUNTIF($D1881:INDIRECT("$D" &amp;  SUM(ROW()-1,'03.Muestra'!$D$45)-1),J1881)</f>
        <v>0</v>
      </c>
      <c r="K1882" s="179">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Accesibilidad</v>
      </c>
      <c r="C1883" s="85" t="str" cm="1">
        <f t="array" ref="C1883">IFERROR(INDEX('03.Muestra'!$F$8:$F$42,SMALL(IF("Página Web"='03.Muestra'!$D$8:$D$42,ROW('03.Muestra'!$F$8:$F$42)-MIN(ROW('03.Muestra'!$D$8:$D$42))+1,""),ROW()-1880)),"")</f>
        <v>https://www.comunidad.madrid/transparencia/declaracion-accesibilidad</v>
      </c>
      <c r="D1883" s="99" t="s">
        <v>93</v>
      </c>
      <c r="E1883" s="79" t="str">
        <f t="shared" si="98"/>
        <v/>
      </c>
      <c r="G1883" s="18"/>
      <c r="H1883" s="18"/>
      <c r="I1883" s="18"/>
      <c r="J1883" s="18"/>
      <c r="K1883" s="183"/>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Tranparencia</v>
      </c>
      <c r="C1884" s="85" t="str" cm="1">
        <f t="array" ref="C1884">IFERROR(INDEX('03.Muestra'!$F$8:$F$42,SMALL(IF("Página Web"='03.Muestra'!$D$8:$D$42,ROW('03.Muestra'!$F$8:$F$42)-MIN(ROW('03.Muestra'!$D$8:$D$42))+1,""),ROW()-1880)),"")</f>
        <v>https://www.comunidad.madrid/transparencia/que-es-transparencia</v>
      </c>
      <c r="D1884" s="99" t="s">
        <v>93</v>
      </c>
      <c r="E1884" s="79" t="str">
        <f t="shared" si="98"/>
        <v/>
      </c>
      <c r="G1884" s="18"/>
      <c r="H1884" s="18"/>
      <c r="I1884" s="18"/>
      <c r="J1884" s="18"/>
      <c r="K1884" s="183"/>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Organización</v>
      </c>
      <c r="C1885" s="85" t="str" cm="1">
        <f t="array" ref="C1885">IFERROR(INDEX('03.Muestra'!$F$8:$F$42,SMALL(IF("Página Web"='03.Muestra'!$D$8:$D$42,ROW('03.Muestra'!$F$8:$F$42)-MIN(ROW('03.Muestra'!$D$8:$D$42))+1,""),ROW()-1880)),"")</f>
        <v>https://www.comunidad.madrid/transparencia/organizacion-recursos/organizacion</v>
      </c>
      <c r="D1885" s="99" t="s">
        <v>93</v>
      </c>
      <c r="E1885" s="79" t="str">
        <f t="shared" si="98"/>
        <v/>
      </c>
      <c r="G1885" s="18"/>
      <c r="H1885" s="18"/>
      <c r="I1885" s="18"/>
      <c r="J1885" s="18"/>
      <c r="K1885" s="183"/>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Quejas</v>
      </c>
      <c r="C1886" s="85" t="str" cm="1">
        <f t="array" ref="C1886">IFERROR(INDEX('03.Muestra'!$F$8:$F$42,SMALL(IF("Página Web"='03.Muestra'!$D$8:$D$42,ROW('03.Muestra'!$F$8:$F$42)-MIN(ROW('03.Muestra'!$D$8:$D$42))+1,""),ROW()-1880)),"")</f>
        <v>https://www.comunidad.madrid/transparencia/quejas-y-reclamaciones</v>
      </c>
      <c r="D1886" s="99" t="s">
        <v>93</v>
      </c>
      <c r="E1886" s="79" t="str">
        <f t="shared" si="98"/>
        <v/>
      </c>
      <c r="G1886" s="18"/>
      <c r="H1886" s="18"/>
      <c r="I1886" s="18"/>
      <c r="J1886" s="18"/>
      <c r="K1886" s="183"/>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Contratos</v>
      </c>
      <c r="C1887" s="85" t="str" cm="1">
        <f t="array" ref="C1887">IFERROR(INDEX('03.Muestra'!$F$8:$F$42,SMALL(IF("Página Web"='03.Muestra'!$D$8:$D$42,ROW('03.Muestra'!$F$8:$F$42)-MIN(ROW('03.Muestra'!$D$8:$D$42))+1,""),ROW()-1880)),"")</f>
        <v>https://www.comunidad.madrid/transparencia/contratos</v>
      </c>
      <c r="D1887" s="99" t="s">
        <v>93</v>
      </c>
      <c r="E1887" s="79" t="str">
        <f t="shared" si="98"/>
        <v/>
      </c>
      <c r="F1887" s="18"/>
      <c r="G1887" s="18"/>
      <c r="H1887" s="18"/>
      <c r="I1887" s="18"/>
      <c r="J1887" s="18"/>
      <c r="K1887" s="183"/>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Consulta</v>
      </c>
      <c r="C1888" s="85" t="str" cm="1">
        <f t="array" ref="C1888">IFERROR(INDEX('03.Muestra'!$F$8:$F$42,SMALL(IF("Página Web"='03.Muestra'!$D$8:$D$42,ROW('03.Muestra'!$F$8:$F$42)-MIN(ROW('03.Muestra'!$D$8:$D$42))+1,""),ROW()-1880)),"")</f>
        <v>https://www.comunidad.madrid/transparencia/normativa-planificacion/consulta-publica</v>
      </c>
      <c r="D1888" s="99" t="s">
        <v>93</v>
      </c>
      <c r="E1888" s="79" t="str">
        <f t="shared" si="98"/>
        <v/>
      </c>
      <c r="F1888" s="18"/>
      <c r="G1888" s="18"/>
      <c r="H1888" s="18"/>
      <c r="I1888" s="18"/>
      <c r="J1888" s="18"/>
      <c r="K1888" s="183"/>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Proyecto</v>
      </c>
      <c r="C1889" s="85" t="str" cm="1">
        <f t="array" ref="C1889">IFERROR(INDEX('03.Muestra'!$F$8:$F$42,SMALL(IF("Página Web"='03.Muestra'!$D$8:$D$42,ROW('03.Muestra'!$F$8:$F$42)-MIN(ROW('03.Muestra'!$D$8:$D$42))+1,""),ROW()-1880)),"")</f>
        <v>https://www.comunidad.madrid/transparencia/proyecto-orden-que-se-crea-comision-farmacia-y-productos-sanitarios-cm-y-se-establece-su-composicion</v>
      </c>
      <c r="D1889" s="99" t="s">
        <v>93</v>
      </c>
      <c r="E1889" s="79" t="str">
        <f t="shared" si="98"/>
        <v/>
      </c>
      <c r="F1889" s="18"/>
      <c r="G1889" s="18"/>
      <c r="H1889" s="18"/>
      <c r="I1889" s="18"/>
      <c r="J1889" s="18"/>
      <c r="K1889" s="183"/>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Planes y Programas</v>
      </c>
      <c r="C1890" s="85" t="str" cm="1">
        <f t="array" ref="C1890">IFERROR(INDEX('03.Muestra'!$F$8:$F$42,SMALL(IF("Página Web"='03.Muestra'!$D$8:$D$42,ROW('03.Muestra'!$F$8:$F$42)-MIN(ROW('03.Muestra'!$D$8:$D$42))+1,""),ROW()-1880)),"")</f>
        <v>https://www.comunidad.madrid/transparencia/normativa-planificacion/planes-programas</v>
      </c>
      <c r="D1890" s="99" t="s">
        <v>93</v>
      </c>
      <c r="E1890" s="79" t="str">
        <f t="shared" si="98"/>
        <v/>
      </c>
      <c r="F1890" s="18"/>
      <c r="G1890" s="18"/>
      <c r="H1890" s="18"/>
      <c r="I1890" s="18"/>
      <c r="J1890" s="18"/>
      <c r="K1890" s="183"/>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Estrategia</v>
      </c>
      <c r="C1891" s="85" t="str" cm="1">
        <f t="array" ref="C1891">IFERROR(INDEX('03.Muestra'!$F$8:$F$42,SMALL(IF("Página Web"='03.Muestra'!$D$8:$D$42,ROW('03.Muestra'!$F$8:$F$42)-MIN(ROW('03.Muestra'!$D$8:$D$42))+1,""),ROW()-1880)),"")</f>
        <v>https://www.comunidad.madrid/transparencia/informacion-institucional/planes-programas/estrategia-seguridad-del-paciente-del-servicio-madrileno</v>
      </c>
      <c r="D1891" s="99" t="s">
        <v>93</v>
      </c>
      <c r="E1891" s="79" t="str">
        <f t="shared" si="98"/>
        <v/>
      </c>
      <c r="F1891" s="18"/>
      <c r="G1891" s="18"/>
      <c r="H1891" s="18"/>
      <c r="I1891" s="18"/>
      <c r="J1891" s="18"/>
      <c r="K1891" s="183"/>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Huella</v>
      </c>
      <c r="C1892" s="85" t="str" cm="1">
        <f t="array" ref="C1892">IFERROR(INDEX('03.Muestra'!$F$8:$F$42,SMALL(IF("Página Web"='03.Muestra'!$D$8:$D$42,ROW('03.Muestra'!$F$8:$F$42)-MIN(ROW('03.Muestra'!$D$8:$D$42))+1,""),ROW()-1880)),"")</f>
        <v>https://www.comunidad.madrid/transparencia/normativa-planificacion/huella-normativa</v>
      </c>
      <c r="D1892" s="99" t="s">
        <v>93</v>
      </c>
      <c r="E1892" s="79" t="str">
        <f t="shared" si="98"/>
        <v/>
      </c>
      <c r="F1892" s="18"/>
      <c r="G1892" s="18"/>
      <c r="H1892" s="18"/>
      <c r="I1892" s="18"/>
      <c r="J1892" s="18"/>
      <c r="K1892" s="183"/>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Decreto</v>
      </c>
      <c r="C1893" s="85" t="str" cm="1">
        <f t="array" ref="C1893">IFERROR(INDEX('03.Muestra'!$F$8:$F$42,SMALL(IF("Página Web"='03.Muestra'!$D$8:$D$42,ROW('03.Muestra'!$F$8:$F$42)-MIN(ROW('03.Muestra'!$D$8:$D$42))+1,""),ROW()-1880)),"")</f>
        <v>https://www.comunidad.madrid/transparencia/decreto-del-consejo-gobierno-que-se-establece-estructura-organica-consejeria-familia-juventud-y</v>
      </c>
      <c r="D1893" s="99" t="s">
        <v>93</v>
      </c>
      <c r="E1893" s="79" t="str">
        <f t="shared" si="98"/>
        <v/>
      </c>
      <c r="F1893" s="18"/>
      <c r="G1893" s="18"/>
      <c r="H1893" s="18"/>
      <c r="I1893" s="18"/>
      <c r="J1893" s="18"/>
      <c r="K1893" s="183"/>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Entidades Locales</v>
      </c>
      <c r="C1894" s="85" t="str" cm="1">
        <f t="array" ref="C1894">IFERROR(INDEX('03.Muestra'!$F$8:$F$42,SMALL(IF("Página Web"='03.Muestra'!$D$8:$D$42,ROW('03.Muestra'!$F$8:$F$42)-MIN(ROW('03.Muestra'!$D$8:$D$42))+1,""),ROW()-1880)),"")</f>
        <v>https://www.comunidad.madrid/transparencia/entidades-locales</v>
      </c>
      <c r="D1894" s="99" t="s">
        <v>93</v>
      </c>
      <c r="E1894" s="79" t="str">
        <f t="shared" si="98"/>
        <v/>
      </c>
      <c r="F1894" s="18"/>
      <c r="G1894" s="18"/>
      <c r="H1894" s="18"/>
      <c r="I1894" s="18"/>
      <c r="J1894" s="18"/>
      <c r="K1894" s="183"/>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ref="D1895:D1915" si="99">IF(AND(B1895&lt;&gt;"",C1895&lt;&gt;""),"N/T","")</f>
        <v/>
      </c>
      <c r="E1895" s="79" t="str">
        <f t="shared" si="98"/>
        <v/>
      </c>
      <c r="F1895" s="18"/>
      <c r="G1895" s="18"/>
      <c r="H1895" s="18"/>
      <c r="I1895" s="18"/>
      <c r="J1895" s="18"/>
      <c r="K1895" s="183"/>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3"/>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3"/>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3"/>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3"/>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3"/>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3"/>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3"/>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3"/>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3"/>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3"/>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3"/>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3"/>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3"/>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3"/>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3"/>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3"/>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3"/>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3"/>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3"/>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3"/>
    </row>
    <row r="1916" spans="1:11" ht="14.5">
      <c r="B1916" s="18"/>
      <c r="C1916" s="18"/>
      <c r="D1916" s="79"/>
      <c r="E1916" s="18"/>
      <c r="F1916" s="18"/>
      <c r="G1916" s="18"/>
      <c r="H1916" s="18"/>
      <c r="I1916" s="18"/>
      <c r="J1916" s="18"/>
      <c r="K1916" s="183"/>
    </row>
    <row r="1917" spans="1:11">
      <c r="K1917" s="184"/>
    </row>
    <row r="1918" spans="1:11">
      <c r="K1918" s="184"/>
    </row>
    <row r="1919" spans="1:11">
      <c r="K1919" s="184"/>
    </row>
    <row r="1920" spans="1:11">
      <c r="K1920" s="184"/>
    </row>
    <row r="1921" spans="11:11">
      <c r="K1921" s="184"/>
    </row>
    <row r="1922" spans="11:11">
      <c r="K1922" s="184"/>
    </row>
    <row r="1923" spans="11:11">
      <c r="K1923" s="184"/>
    </row>
    <row r="1924" spans="11:11">
      <c r="K1924" s="184"/>
    </row>
    <row r="1925" spans="11:11">
      <c r="K1925" s="184"/>
    </row>
    <row r="1926" spans="11:11">
      <c r="K1926" s="184"/>
    </row>
    <row r="1927" spans="11:11">
      <c r="K1927" s="184"/>
    </row>
    <row r="1928" spans="11:11">
      <c r="K1928" s="184"/>
    </row>
    <row r="1929" spans="11:11">
      <c r="K1929" s="184"/>
    </row>
    <row r="1930" spans="11:11">
      <c r="K1930" s="184"/>
    </row>
    <row r="1931" spans="11:11">
      <c r="K1931" s="184"/>
    </row>
    <row r="1932" spans="11:11">
      <c r="K1932" s="184"/>
    </row>
    <row r="1933" spans="11:11">
      <c r="K1933" s="184"/>
    </row>
    <row r="1934" spans="11:11">
      <c r="K1934" s="184"/>
    </row>
    <row r="1935" spans="11:11">
      <c r="K1935" s="184"/>
    </row>
    <row r="1936" spans="11:11">
      <c r="K1936" s="184"/>
    </row>
    <row r="1937" spans="11:11">
      <c r="K1937" s="184"/>
    </row>
    <row r="1938" spans="11:11">
      <c r="K1938" s="184"/>
    </row>
    <row r="1939" spans="11:11">
      <c r="K1939" s="184"/>
    </row>
    <row r="1940" spans="11:11">
      <c r="K1940" s="184"/>
    </row>
    <row r="1941" spans="11:11">
      <c r="K1941" s="184"/>
    </row>
    <row r="1942" spans="11:11">
      <c r="K1942" s="184"/>
    </row>
    <row r="1943" spans="11:11">
      <c r="K1943" s="184"/>
    </row>
    <row r="1944" spans="11:11">
      <c r="K1944" s="184"/>
    </row>
    <row r="1945" spans="11:11">
      <c r="K1945" s="184"/>
    </row>
    <row r="1946" spans="11:11">
      <c r="K1946" s="184"/>
    </row>
    <row r="1947" spans="11:11">
      <c r="K1947" s="184"/>
    </row>
    <row r="1948" spans="11:11">
      <c r="K1948" s="184"/>
    </row>
    <row r="1949" spans="11:11">
      <c r="K1949" s="184"/>
    </row>
    <row r="1950" spans="11:11">
      <c r="K1950" s="184"/>
    </row>
    <row r="1951" spans="11:11">
      <c r="K1951" s="184"/>
    </row>
    <row r="1952" spans="11:11">
      <c r="K1952" s="184"/>
    </row>
    <row r="1953" spans="11:11">
      <c r="K1953" s="184"/>
    </row>
    <row r="1954" spans="11:11">
      <c r="K1954" s="184"/>
    </row>
    <row r="1955" spans="11:11">
      <c r="K1955" s="184"/>
    </row>
    <row r="1956" spans="11:11">
      <c r="K1956" s="184"/>
    </row>
    <row r="1957" spans="11:11">
      <c r="K1957" s="184"/>
    </row>
    <row r="1958" spans="11:11">
      <c r="K1958" s="184"/>
    </row>
    <row r="1959" spans="11:11">
      <c r="K1959" s="184"/>
    </row>
    <row r="1960" spans="11:11">
      <c r="K1960" s="184"/>
    </row>
    <row r="1961" spans="11:11">
      <c r="K1961" s="184"/>
    </row>
    <row r="1962" spans="11:11">
      <c r="K1962" s="184"/>
    </row>
    <row r="1963" spans="11:11">
      <c r="K1963" s="184"/>
    </row>
    <row r="1964" spans="11:11">
      <c r="K1964" s="184"/>
    </row>
    <row r="1965" spans="11:11">
      <c r="K1965" s="184"/>
    </row>
    <row r="1966" spans="11:11">
      <c r="K1966" s="184"/>
    </row>
    <row r="1967" spans="11:11">
      <c r="K1967" s="184"/>
    </row>
    <row r="1968" spans="11:11">
      <c r="K1968" s="184"/>
    </row>
    <row r="1969" spans="11:11">
      <c r="K1969" s="184"/>
    </row>
    <row r="1970" spans="11:11">
      <c r="K1970" s="184"/>
    </row>
    <row r="1971" spans="11:11">
      <c r="K1971" s="184"/>
    </row>
    <row r="1972" spans="11:11">
      <c r="K1972" s="184"/>
    </row>
    <row r="1973" spans="11:11">
      <c r="K1973" s="184"/>
    </row>
    <row r="1974" spans="11:11">
      <c r="K1974" s="184"/>
    </row>
    <row r="1975" spans="11:11">
      <c r="K1975" s="184"/>
    </row>
    <row r="1976" spans="11:11">
      <c r="K1976" s="184"/>
    </row>
    <row r="1977" spans="11:11">
      <c r="K1977" s="184"/>
    </row>
    <row r="1978" spans="11:11">
      <c r="K1978" s="184"/>
    </row>
    <row r="1979" spans="11:11">
      <c r="K1979" s="184"/>
    </row>
    <row r="1980" spans="11:11">
      <c r="K1980" s="184"/>
    </row>
    <row r="1981" spans="11:11">
      <c r="K1981" s="184"/>
    </row>
    <row r="1982" spans="11:11">
      <c r="K1982" s="184"/>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1073" priority="733"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072" priority="727" stopIfTrue="1">
      <formula>ISBLANK(F19)</formula>
    </cfRule>
    <cfRule type="cellIs" dxfId="1071" priority="728" stopIfTrue="1" operator="equal">
      <formula>"Pasa"</formula>
    </cfRule>
    <cfRule type="cellIs" dxfId="1070" priority="729" stopIfTrue="1" operator="equal">
      <formula>"Falla"</formula>
    </cfRule>
    <cfRule type="cellIs" dxfId="1069" priority="730" stopIfTrue="1" operator="equal">
      <formula>"N/A"</formula>
    </cfRule>
    <cfRule type="cellIs" dxfId="1068" priority="731" stopIfTrue="1" operator="equal">
      <formula>"N/T"</formula>
    </cfRule>
    <cfRule type="cellIs" dxfId="1067" priority="732" stopIfTrue="1" operator="equal">
      <formula>"N/D"</formula>
    </cfRule>
  </conditionalFormatting>
  <conditionalFormatting sqref="E741:E775 E779:E813 E817:E851 E855:E889 E893:E927 E931:E965 E1045:E1079 E1083:E1117 E1159:E1193 E1197:E1231 E1235:E1269 E1273:E1307 E1311:E1345 E1349:E1383">
    <cfRule type="cellIs" dxfId="1066" priority="612" stopIfTrue="1" operator="equal">
      <formula>"ERR"</formula>
    </cfRule>
  </conditionalFormatting>
  <conditionalFormatting sqref="E1387:E1421 E1463:E1497 E1501:E1535 E1615:E1649 E1653:E1687 E1691:E1725 E1729:E1763">
    <cfRule type="cellIs" dxfId="1065" priority="521" operator="equal">
      <formula>"ERR"</formula>
    </cfRule>
  </conditionalFormatting>
  <conditionalFormatting sqref="E1767:E1801 E1805:E1839">
    <cfRule type="cellIs" dxfId="1064" priority="472" stopIfTrue="1" operator="equal">
      <formula>"ERR"</formula>
    </cfRule>
  </conditionalFormatting>
  <conditionalFormatting sqref="E969:E1003 E1007:E1042">
    <cfRule type="cellIs" dxfId="1063" priority="453" stopIfTrue="1" operator="equal">
      <formula>"ERR"</formula>
    </cfRule>
  </conditionalFormatting>
  <conditionalFormatting sqref="D1042">
    <cfRule type="expression" dxfId="1062" priority="447" stopIfTrue="1">
      <formula>ISBLANK(D1042)</formula>
    </cfRule>
    <cfRule type="cellIs" dxfId="1061" priority="448" stopIfTrue="1" operator="equal">
      <formula>"Pasa"</formula>
    </cfRule>
    <cfRule type="cellIs" dxfId="1060" priority="449" stopIfTrue="1" operator="equal">
      <formula>"Falla"</formula>
    </cfRule>
    <cfRule type="cellIs" dxfId="1059" priority="450" stopIfTrue="1" operator="equal">
      <formula>"N/A"</formula>
    </cfRule>
    <cfRule type="cellIs" dxfId="1058" priority="451" stopIfTrue="1" operator="equal">
      <formula>"N/T"</formula>
    </cfRule>
    <cfRule type="cellIs" dxfId="1057" priority="452" stopIfTrue="1" operator="equal">
      <formula>"N/D"</formula>
    </cfRule>
  </conditionalFormatting>
  <conditionalFormatting sqref="E1121:E1155">
    <cfRule type="cellIs" dxfId="1056" priority="434" stopIfTrue="1" operator="equal">
      <formula>"ERR"</formula>
    </cfRule>
  </conditionalFormatting>
  <conditionalFormatting sqref="E1425:E1459">
    <cfRule type="cellIs" dxfId="1055" priority="421" operator="equal">
      <formula>"ERR"</formula>
    </cfRule>
  </conditionalFormatting>
  <conditionalFormatting sqref="E1539:E1573 E1577:E1611">
    <cfRule type="cellIs" dxfId="1054" priority="408" operator="equal">
      <formula>"ERR"</formula>
    </cfRule>
  </conditionalFormatting>
  <conditionalFormatting sqref="E1843:E1877">
    <cfRule type="cellIs" dxfId="1053" priority="389" stopIfTrue="1" operator="equal">
      <formula>"ERR"</formula>
    </cfRule>
  </conditionalFormatting>
  <conditionalFormatting sqref="D19:D53">
    <cfRule type="expression" dxfId="1052" priority="371" stopIfTrue="1">
      <formula>ISBLANK(D19)</formula>
    </cfRule>
    <cfRule type="cellIs" dxfId="1051" priority="372" stopIfTrue="1" operator="equal">
      <formula>"Pasa"</formula>
    </cfRule>
    <cfRule type="cellIs" dxfId="1050" priority="373" stopIfTrue="1" operator="equal">
      <formula>"Falla"</formula>
    </cfRule>
    <cfRule type="cellIs" dxfId="1049" priority="374" stopIfTrue="1" operator="equal">
      <formula>"N/A"</formula>
    </cfRule>
    <cfRule type="cellIs" dxfId="1048" priority="375" stopIfTrue="1" operator="equal">
      <formula>"N/T"</formula>
    </cfRule>
    <cfRule type="cellIs" dxfId="1047" priority="376" stopIfTrue="1" operator="equal">
      <formula>"N/D"</formula>
    </cfRule>
  </conditionalFormatting>
  <conditionalFormatting sqref="D19:D53">
    <cfRule type="cellIs" dxfId="1046" priority="370" stopIfTrue="1" operator="equal">
      <formula>"-"</formula>
    </cfRule>
  </conditionalFormatting>
  <conditionalFormatting sqref="D57:D91">
    <cfRule type="expression" dxfId="1045" priority="364" stopIfTrue="1">
      <formula>ISBLANK(D57)</formula>
    </cfRule>
    <cfRule type="cellIs" dxfId="1044" priority="365" stopIfTrue="1" operator="equal">
      <formula>"Pasa"</formula>
    </cfRule>
    <cfRule type="cellIs" dxfId="1043" priority="366" stopIfTrue="1" operator="equal">
      <formula>"Falla"</formula>
    </cfRule>
    <cfRule type="cellIs" dxfId="1042" priority="367" stopIfTrue="1" operator="equal">
      <formula>"N/A"</formula>
    </cfRule>
    <cfRule type="cellIs" dxfId="1041" priority="368" stopIfTrue="1" operator="equal">
      <formula>"N/T"</formula>
    </cfRule>
    <cfRule type="cellIs" dxfId="1040" priority="369" stopIfTrue="1" operator="equal">
      <formula>"N/D"</formula>
    </cfRule>
  </conditionalFormatting>
  <conditionalFormatting sqref="D57:D91">
    <cfRule type="cellIs" dxfId="1039" priority="363" stopIfTrue="1" operator="equal">
      <formula>"-"</formula>
    </cfRule>
  </conditionalFormatting>
  <conditionalFormatting sqref="D95:D129">
    <cfRule type="expression" dxfId="1038" priority="357" stopIfTrue="1">
      <formula>ISBLANK(D95)</formula>
    </cfRule>
    <cfRule type="cellIs" dxfId="1037" priority="358" stopIfTrue="1" operator="equal">
      <formula>"Pasa"</formula>
    </cfRule>
    <cfRule type="cellIs" dxfId="1036" priority="359" stopIfTrue="1" operator="equal">
      <formula>"Falla"</formula>
    </cfRule>
    <cfRule type="cellIs" dxfId="1035" priority="360" stopIfTrue="1" operator="equal">
      <formula>"N/A"</formula>
    </cfRule>
    <cfRule type="cellIs" dxfId="1034" priority="361" stopIfTrue="1" operator="equal">
      <formula>"N/T"</formula>
    </cfRule>
    <cfRule type="cellIs" dxfId="1033" priority="362" stopIfTrue="1" operator="equal">
      <formula>"N/D"</formula>
    </cfRule>
  </conditionalFormatting>
  <conditionalFormatting sqref="D95:D129">
    <cfRule type="cellIs" dxfId="1032" priority="356" stopIfTrue="1" operator="equal">
      <formula>"-"</formula>
    </cfRule>
  </conditionalFormatting>
  <conditionalFormatting sqref="D133:D167">
    <cfRule type="expression" dxfId="1031" priority="350" stopIfTrue="1">
      <formula>ISBLANK(D133)</formula>
    </cfRule>
    <cfRule type="cellIs" dxfId="1030" priority="351" stopIfTrue="1" operator="equal">
      <formula>"Pasa"</formula>
    </cfRule>
    <cfRule type="cellIs" dxfId="1029" priority="352" stopIfTrue="1" operator="equal">
      <formula>"Falla"</formula>
    </cfRule>
    <cfRule type="cellIs" dxfId="1028" priority="353" stopIfTrue="1" operator="equal">
      <formula>"N/A"</formula>
    </cfRule>
    <cfRule type="cellIs" dxfId="1027" priority="354" stopIfTrue="1" operator="equal">
      <formula>"N/T"</formula>
    </cfRule>
    <cfRule type="cellIs" dxfId="1026" priority="355" stopIfTrue="1" operator="equal">
      <formula>"N/D"</formula>
    </cfRule>
  </conditionalFormatting>
  <conditionalFormatting sqref="D133:D167">
    <cfRule type="cellIs" dxfId="1025" priority="349" stopIfTrue="1" operator="equal">
      <formula>"-"</formula>
    </cfRule>
  </conditionalFormatting>
  <conditionalFormatting sqref="D171:D205">
    <cfRule type="expression" dxfId="1024" priority="336" stopIfTrue="1">
      <formula>ISBLANK(D171)</formula>
    </cfRule>
    <cfRule type="cellIs" dxfId="1023" priority="337" stopIfTrue="1" operator="equal">
      <formula>"Pasa"</formula>
    </cfRule>
    <cfRule type="cellIs" dxfId="1022" priority="338" stopIfTrue="1" operator="equal">
      <formula>"Falla"</formula>
    </cfRule>
    <cfRule type="cellIs" dxfId="1021" priority="339" stopIfTrue="1" operator="equal">
      <formula>"N/A"</formula>
    </cfRule>
    <cfRule type="cellIs" dxfId="1020" priority="340" stopIfTrue="1" operator="equal">
      <formula>"N/T"</formula>
    </cfRule>
    <cfRule type="cellIs" dxfId="1019" priority="341" stopIfTrue="1" operator="equal">
      <formula>"N/D"</formula>
    </cfRule>
  </conditionalFormatting>
  <conditionalFormatting sqref="D171:D205">
    <cfRule type="cellIs" dxfId="1018" priority="335" stopIfTrue="1" operator="equal">
      <formula>"-"</formula>
    </cfRule>
  </conditionalFormatting>
  <conditionalFormatting sqref="D209:D243">
    <cfRule type="expression" dxfId="1017" priority="329" stopIfTrue="1">
      <formula>ISBLANK(D209)</formula>
    </cfRule>
    <cfRule type="cellIs" dxfId="1016" priority="330" stopIfTrue="1" operator="equal">
      <formula>"Pasa"</formula>
    </cfRule>
    <cfRule type="cellIs" dxfId="1015" priority="331" stopIfTrue="1" operator="equal">
      <formula>"Falla"</formula>
    </cfRule>
    <cfRule type="cellIs" dxfId="1014" priority="332" stopIfTrue="1" operator="equal">
      <formula>"N/A"</formula>
    </cfRule>
    <cfRule type="cellIs" dxfId="1013" priority="333" stopIfTrue="1" operator="equal">
      <formula>"N/T"</formula>
    </cfRule>
    <cfRule type="cellIs" dxfId="1012" priority="334" stopIfTrue="1" operator="equal">
      <formula>"N/D"</formula>
    </cfRule>
  </conditionalFormatting>
  <conditionalFormatting sqref="D209:D243">
    <cfRule type="cellIs" dxfId="1011" priority="328" stopIfTrue="1" operator="equal">
      <formula>"-"</formula>
    </cfRule>
  </conditionalFormatting>
  <conditionalFormatting sqref="D247:D281">
    <cfRule type="expression" dxfId="1010" priority="322" stopIfTrue="1">
      <formula>ISBLANK(D247)</formula>
    </cfRule>
    <cfRule type="cellIs" dxfId="1009" priority="323" stopIfTrue="1" operator="equal">
      <formula>"Pasa"</formula>
    </cfRule>
    <cfRule type="cellIs" dxfId="1008" priority="324" stopIfTrue="1" operator="equal">
      <formula>"Falla"</formula>
    </cfRule>
    <cfRule type="cellIs" dxfId="1007" priority="325" stopIfTrue="1" operator="equal">
      <formula>"N/A"</formula>
    </cfRule>
    <cfRule type="cellIs" dxfId="1006" priority="326" stopIfTrue="1" operator="equal">
      <formula>"N/T"</formula>
    </cfRule>
    <cfRule type="cellIs" dxfId="1005" priority="327" stopIfTrue="1" operator="equal">
      <formula>"N/D"</formula>
    </cfRule>
  </conditionalFormatting>
  <conditionalFormatting sqref="D247:D281">
    <cfRule type="cellIs" dxfId="1004" priority="321" stopIfTrue="1" operator="equal">
      <formula>"-"</formula>
    </cfRule>
  </conditionalFormatting>
  <conditionalFormatting sqref="D285:D319">
    <cfRule type="expression" dxfId="1003" priority="315" stopIfTrue="1">
      <formula>ISBLANK(D285)</formula>
    </cfRule>
    <cfRule type="cellIs" dxfId="1002" priority="316" stopIfTrue="1" operator="equal">
      <formula>"Pasa"</formula>
    </cfRule>
    <cfRule type="cellIs" dxfId="1001" priority="317" stopIfTrue="1" operator="equal">
      <formula>"Falla"</formula>
    </cfRule>
    <cfRule type="cellIs" dxfId="1000" priority="318" stopIfTrue="1" operator="equal">
      <formula>"N/A"</formula>
    </cfRule>
    <cfRule type="cellIs" dxfId="999" priority="319" stopIfTrue="1" operator="equal">
      <formula>"N/T"</formula>
    </cfRule>
    <cfRule type="cellIs" dxfId="998" priority="320" stopIfTrue="1" operator="equal">
      <formula>"N/D"</formula>
    </cfRule>
  </conditionalFormatting>
  <conditionalFormatting sqref="D285:D319">
    <cfRule type="cellIs" dxfId="997" priority="314" stopIfTrue="1" operator="equal">
      <formula>"-"</formula>
    </cfRule>
  </conditionalFormatting>
  <conditionalFormatting sqref="D323:D357">
    <cfRule type="expression" dxfId="996" priority="308" stopIfTrue="1">
      <formula>ISBLANK(D323)</formula>
    </cfRule>
    <cfRule type="cellIs" dxfId="995" priority="309" stopIfTrue="1" operator="equal">
      <formula>"Pasa"</formula>
    </cfRule>
    <cfRule type="cellIs" dxfId="994" priority="310" stopIfTrue="1" operator="equal">
      <formula>"Falla"</formula>
    </cfRule>
    <cfRule type="cellIs" dxfId="993" priority="311" stopIfTrue="1" operator="equal">
      <formula>"N/A"</formula>
    </cfRule>
    <cfRule type="cellIs" dxfId="992" priority="312" stopIfTrue="1" operator="equal">
      <formula>"N/T"</formula>
    </cfRule>
    <cfRule type="cellIs" dxfId="991" priority="313" stopIfTrue="1" operator="equal">
      <formula>"N/D"</formula>
    </cfRule>
  </conditionalFormatting>
  <conditionalFormatting sqref="D323:D357">
    <cfRule type="cellIs" dxfId="990" priority="307" stopIfTrue="1" operator="equal">
      <formula>"-"</formula>
    </cfRule>
  </conditionalFormatting>
  <conditionalFormatting sqref="D361:D395">
    <cfRule type="expression" dxfId="989" priority="301" stopIfTrue="1">
      <formula>ISBLANK(D361)</formula>
    </cfRule>
    <cfRule type="cellIs" dxfId="988" priority="302" stopIfTrue="1" operator="equal">
      <formula>"Pasa"</formula>
    </cfRule>
    <cfRule type="cellIs" dxfId="987" priority="303" stopIfTrue="1" operator="equal">
      <formula>"Falla"</formula>
    </cfRule>
    <cfRule type="cellIs" dxfId="986" priority="304" stopIfTrue="1" operator="equal">
      <formula>"N/A"</formula>
    </cfRule>
    <cfRule type="cellIs" dxfId="985" priority="305" stopIfTrue="1" operator="equal">
      <formula>"N/T"</formula>
    </cfRule>
    <cfRule type="cellIs" dxfId="984" priority="306" stopIfTrue="1" operator="equal">
      <formula>"N/D"</formula>
    </cfRule>
  </conditionalFormatting>
  <conditionalFormatting sqref="D361:D395">
    <cfRule type="cellIs" dxfId="983" priority="300" stopIfTrue="1" operator="equal">
      <formula>"-"</formula>
    </cfRule>
  </conditionalFormatting>
  <conditionalFormatting sqref="D399:D433">
    <cfRule type="expression" dxfId="982" priority="294" stopIfTrue="1">
      <formula>ISBLANK(D399)</formula>
    </cfRule>
    <cfRule type="cellIs" dxfId="981" priority="295" stopIfTrue="1" operator="equal">
      <formula>"Pasa"</formula>
    </cfRule>
    <cfRule type="cellIs" dxfId="980" priority="296" stopIfTrue="1" operator="equal">
      <formula>"Falla"</formula>
    </cfRule>
    <cfRule type="cellIs" dxfId="979" priority="297" stopIfTrue="1" operator="equal">
      <formula>"N/A"</formula>
    </cfRule>
    <cfRule type="cellIs" dxfId="978" priority="298" stopIfTrue="1" operator="equal">
      <formula>"N/T"</formula>
    </cfRule>
    <cfRule type="cellIs" dxfId="977" priority="299" stopIfTrue="1" operator="equal">
      <formula>"N/D"</formula>
    </cfRule>
  </conditionalFormatting>
  <conditionalFormatting sqref="D399:D433">
    <cfRule type="cellIs" dxfId="976" priority="293" stopIfTrue="1" operator="equal">
      <formula>"-"</formula>
    </cfRule>
  </conditionalFormatting>
  <conditionalFormatting sqref="D437:D471">
    <cfRule type="expression" dxfId="975" priority="287" stopIfTrue="1">
      <formula>ISBLANK(D437)</formula>
    </cfRule>
    <cfRule type="cellIs" dxfId="974" priority="288" stopIfTrue="1" operator="equal">
      <formula>"Pasa"</formula>
    </cfRule>
    <cfRule type="cellIs" dxfId="973" priority="289" stopIfTrue="1" operator="equal">
      <formula>"Falla"</formula>
    </cfRule>
    <cfRule type="cellIs" dxfId="972" priority="290" stopIfTrue="1" operator="equal">
      <formula>"N/A"</formula>
    </cfRule>
    <cfRule type="cellIs" dxfId="971" priority="291" stopIfTrue="1" operator="equal">
      <formula>"N/T"</formula>
    </cfRule>
    <cfRule type="cellIs" dxfId="970" priority="292" stopIfTrue="1" operator="equal">
      <formula>"N/D"</formula>
    </cfRule>
  </conditionalFormatting>
  <conditionalFormatting sqref="D437:D471">
    <cfRule type="cellIs" dxfId="969" priority="286" stopIfTrue="1" operator="equal">
      <formula>"-"</formula>
    </cfRule>
  </conditionalFormatting>
  <conditionalFormatting sqref="D475:D509">
    <cfRule type="expression" dxfId="968" priority="280" stopIfTrue="1">
      <formula>ISBLANK(D475)</formula>
    </cfRule>
    <cfRule type="cellIs" dxfId="967" priority="281" stopIfTrue="1" operator="equal">
      <formula>"Pasa"</formula>
    </cfRule>
    <cfRule type="cellIs" dxfId="966" priority="282" stopIfTrue="1" operator="equal">
      <formula>"Falla"</formula>
    </cfRule>
    <cfRule type="cellIs" dxfId="965" priority="283" stopIfTrue="1" operator="equal">
      <formula>"N/A"</formula>
    </cfRule>
    <cfRule type="cellIs" dxfId="964" priority="284" stopIfTrue="1" operator="equal">
      <formula>"N/T"</formula>
    </cfRule>
    <cfRule type="cellIs" dxfId="963" priority="285" stopIfTrue="1" operator="equal">
      <formula>"N/D"</formula>
    </cfRule>
  </conditionalFormatting>
  <conditionalFormatting sqref="D475:D509">
    <cfRule type="cellIs" dxfId="962" priority="279" stopIfTrue="1" operator="equal">
      <formula>"-"</formula>
    </cfRule>
  </conditionalFormatting>
  <conditionalFormatting sqref="D513:D547">
    <cfRule type="expression" dxfId="961" priority="273" stopIfTrue="1">
      <formula>ISBLANK(D513)</formula>
    </cfRule>
    <cfRule type="cellIs" dxfId="960" priority="274" stopIfTrue="1" operator="equal">
      <formula>"Pasa"</formula>
    </cfRule>
    <cfRule type="cellIs" dxfId="959" priority="275" stopIfTrue="1" operator="equal">
      <formula>"Falla"</formula>
    </cfRule>
    <cfRule type="cellIs" dxfId="958" priority="276" stopIfTrue="1" operator="equal">
      <formula>"N/A"</formula>
    </cfRule>
    <cfRule type="cellIs" dxfId="957" priority="277" stopIfTrue="1" operator="equal">
      <formula>"N/T"</formula>
    </cfRule>
    <cfRule type="cellIs" dxfId="956" priority="278" stopIfTrue="1" operator="equal">
      <formula>"N/D"</formula>
    </cfRule>
  </conditionalFormatting>
  <conditionalFormatting sqref="D513:D547">
    <cfRule type="cellIs" dxfId="955" priority="272" stopIfTrue="1" operator="equal">
      <formula>"-"</formula>
    </cfRule>
  </conditionalFormatting>
  <conditionalFormatting sqref="D551:D585">
    <cfRule type="expression" dxfId="954" priority="266" stopIfTrue="1">
      <formula>ISBLANK(D551)</formula>
    </cfRule>
    <cfRule type="cellIs" dxfId="953" priority="267" stopIfTrue="1" operator="equal">
      <formula>"Pasa"</formula>
    </cfRule>
    <cfRule type="cellIs" dxfId="952" priority="268" stopIfTrue="1" operator="equal">
      <formula>"Falla"</formula>
    </cfRule>
    <cfRule type="cellIs" dxfId="951" priority="269" stopIfTrue="1" operator="equal">
      <formula>"N/A"</formula>
    </cfRule>
    <cfRule type="cellIs" dxfId="950" priority="270" stopIfTrue="1" operator="equal">
      <formula>"N/T"</formula>
    </cfRule>
    <cfRule type="cellIs" dxfId="949" priority="271" stopIfTrue="1" operator="equal">
      <formula>"N/D"</formula>
    </cfRule>
  </conditionalFormatting>
  <conditionalFormatting sqref="D551:D585">
    <cfRule type="cellIs" dxfId="948" priority="265" stopIfTrue="1" operator="equal">
      <formula>"-"</formula>
    </cfRule>
  </conditionalFormatting>
  <conditionalFormatting sqref="D589:D623">
    <cfRule type="expression" dxfId="947" priority="259" stopIfTrue="1">
      <formula>ISBLANK(D589)</formula>
    </cfRule>
    <cfRule type="cellIs" dxfId="946" priority="260" stopIfTrue="1" operator="equal">
      <formula>"Pasa"</formula>
    </cfRule>
    <cfRule type="cellIs" dxfId="945" priority="261" stopIfTrue="1" operator="equal">
      <formula>"Falla"</formula>
    </cfRule>
    <cfRule type="cellIs" dxfId="944" priority="262" stopIfTrue="1" operator="equal">
      <formula>"N/A"</formula>
    </cfRule>
    <cfRule type="cellIs" dxfId="943" priority="263" stopIfTrue="1" operator="equal">
      <formula>"N/T"</formula>
    </cfRule>
    <cfRule type="cellIs" dxfId="942" priority="264" stopIfTrue="1" operator="equal">
      <formula>"N/D"</formula>
    </cfRule>
  </conditionalFormatting>
  <conditionalFormatting sqref="D589:D623">
    <cfRule type="cellIs" dxfId="941" priority="258" stopIfTrue="1" operator="equal">
      <formula>"-"</formula>
    </cfRule>
  </conditionalFormatting>
  <conditionalFormatting sqref="D627:D661">
    <cfRule type="expression" dxfId="940" priority="252" stopIfTrue="1">
      <formula>ISBLANK(D627)</formula>
    </cfRule>
    <cfRule type="cellIs" dxfId="939" priority="253" stopIfTrue="1" operator="equal">
      <formula>"Pasa"</formula>
    </cfRule>
    <cfRule type="cellIs" dxfId="938" priority="254" stopIfTrue="1" operator="equal">
      <formula>"Falla"</formula>
    </cfRule>
    <cfRule type="cellIs" dxfId="937" priority="255" stopIfTrue="1" operator="equal">
      <formula>"N/A"</formula>
    </cfRule>
    <cfRule type="cellIs" dxfId="936" priority="256" stopIfTrue="1" operator="equal">
      <formula>"N/T"</formula>
    </cfRule>
    <cfRule type="cellIs" dxfId="935" priority="257" stopIfTrue="1" operator="equal">
      <formula>"N/D"</formula>
    </cfRule>
  </conditionalFormatting>
  <conditionalFormatting sqref="D627:D661">
    <cfRule type="cellIs" dxfId="934" priority="251" stopIfTrue="1" operator="equal">
      <formula>"-"</formula>
    </cfRule>
  </conditionalFormatting>
  <conditionalFormatting sqref="D665:D699">
    <cfRule type="expression" dxfId="933" priority="245" stopIfTrue="1">
      <formula>ISBLANK(D665)</formula>
    </cfRule>
    <cfRule type="cellIs" dxfId="932" priority="246" stopIfTrue="1" operator="equal">
      <formula>"Pasa"</formula>
    </cfRule>
    <cfRule type="cellIs" dxfId="931" priority="247" stopIfTrue="1" operator="equal">
      <formula>"Falla"</formula>
    </cfRule>
    <cfRule type="cellIs" dxfId="930" priority="248" stopIfTrue="1" operator="equal">
      <formula>"N/A"</formula>
    </cfRule>
    <cfRule type="cellIs" dxfId="929" priority="249" stopIfTrue="1" operator="equal">
      <formula>"N/T"</formula>
    </cfRule>
    <cfRule type="cellIs" dxfId="928" priority="250" stopIfTrue="1" operator="equal">
      <formula>"N/D"</formula>
    </cfRule>
  </conditionalFormatting>
  <conditionalFormatting sqref="D665:D699">
    <cfRule type="cellIs" dxfId="927" priority="244" stopIfTrue="1" operator="equal">
      <formula>"-"</formula>
    </cfRule>
  </conditionalFormatting>
  <conditionalFormatting sqref="D703:D737">
    <cfRule type="expression" dxfId="926" priority="238" stopIfTrue="1">
      <formula>ISBLANK(D703)</formula>
    </cfRule>
    <cfRule type="cellIs" dxfId="925" priority="239" stopIfTrue="1" operator="equal">
      <formula>"Pasa"</formula>
    </cfRule>
    <cfRule type="cellIs" dxfId="924" priority="240" stopIfTrue="1" operator="equal">
      <formula>"Falla"</formula>
    </cfRule>
    <cfRule type="cellIs" dxfId="923" priority="241" stopIfTrue="1" operator="equal">
      <formula>"N/A"</formula>
    </cfRule>
    <cfRule type="cellIs" dxfId="922" priority="242" stopIfTrue="1" operator="equal">
      <formula>"N/T"</formula>
    </cfRule>
    <cfRule type="cellIs" dxfId="921" priority="243" stopIfTrue="1" operator="equal">
      <formula>"N/D"</formula>
    </cfRule>
  </conditionalFormatting>
  <conditionalFormatting sqref="D703:D737">
    <cfRule type="cellIs" dxfId="920" priority="237" stopIfTrue="1" operator="equal">
      <formula>"-"</formula>
    </cfRule>
  </conditionalFormatting>
  <conditionalFormatting sqref="D741:D775">
    <cfRule type="expression" dxfId="919" priority="231" stopIfTrue="1">
      <formula>ISBLANK(D741)</formula>
    </cfRule>
    <cfRule type="cellIs" dxfId="918" priority="232" stopIfTrue="1" operator="equal">
      <formula>"Pasa"</formula>
    </cfRule>
    <cfRule type="cellIs" dxfId="917" priority="233" stopIfTrue="1" operator="equal">
      <formula>"Falla"</formula>
    </cfRule>
    <cfRule type="cellIs" dxfId="916" priority="234" stopIfTrue="1" operator="equal">
      <formula>"N/A"</formula>
    </cfRule>
    <cfRule type="cellIs" dxfId="915" priority="235" stopIfTrue="1" operator="equal">
      <formula>"N/T"</formula>
    </cfRule>
    <cfRule type="cellIs" dxfId="914" priority="236" stopIfTrue="1" operator="equal">
      <formula>"N/D"</formula>
    </cfRule>
  </conditionalFormatting>
  <conditionalFormatting sqref="D741:D775">
    <cfRule type="cellIs" dxfId="913" priority="230" stopIfTrue="1" operator="equal">
      <formula>"-"</formula>
    </cfRule>
  </conditionalFormatting>
  <conditionalFormatting sqref="D779:D813">
    <cfRule type="expression" dxfId="912" priority="224" stopIfTrue="1">
      <formula>ISBLANK(D779)</formula>
    </cfRule>
    <cfRule type="cellIs" dxfId="911" priority="225" stopIfTrue="1" operator="equal">
      <formula>"Pasa"</formula>
    </cfRule>
    <cfRule type="cellIs" dxfId="910" priority="226" stopIfTrue="1" operator="equal">
      <formula>"Falla"</formula>
    </cfRule>
    <cfRule type="cellIs" dxfId="909" priority="227" stopIfTrue="1" operator="equal">
      <formula>"N/A"</formula>
    </cfRule>
    <cfRule type="cellIs" dxfId="908" priority="228" stopIfTrue="1" operator="equal">
      <formula>"N/T"</formula>
    </cfRule>
    <cfRule type="cellIs" dxfId="907" priority="229" stopIfTrue="1" operator="equal">
      <formula>"N/D"</formula>
    </cfRule>
  </conditionalFormatting>
  <conditionalFormatting sqref="D779:D813">
    <cfRule type="cellIs" dxfId="906" priority="223" stopIfTrue="1" operator="equal">
      <formula>"-"</formula>
    </cfRule>
  </conditionalFormatting>
  <conditionalFormatting sqref="D817:D851">
    <cfRule type="expression" dxfId="905" priority="217" stopIfTrue="1">
      <formula>ISBLANK(D817)</formula>
    </cfRule>
    <cfRule type="cellIs" dxfId="904" priority="218" stopIfTrue="1" operator="equal">
      <formula>"Pasa"</formula>
    </cfRule>
    <cfRule type="cellIs" dxfId="903" priority="219" stopIfTrue="1" operator="equal">
      <formula>"Falla"</formula>
    </cfRule>
    <cfRule type="cellIs" dxfId="902" priority="220" stopIfTrue="1" operator="equal">
      <formula>"N/A"</formula>
    </cfRule>
    <cfRule type="cellIs" dxfId="901" priority="221" stopIfTrue="1" operator="equal">
      <formula>"N/T"</formula>
    </cfRule>
    <cfRule type="cellIs" dxfId="900" priority="222" stopIfTrue="1" operator="equal">
      <formula>"N/D"</formula>
    </cfRule>
  </conditionalFormatting>
  <conditionalFormatting sqref="D817:D851">
    <cfRule type="cellIs" dxfId="899" priority="216" stopIfTrue="1" operator="equal">
      <formula>"-"</formula>
    </cfRule>
  </conditionalFormatting>
  <conditionalFormatting sqref="D855:D889">
    <cfRule type="expression" dxfId="898" priority="210" stopIfTrue="1">
      <formula>ISBLANK(D855)</formula>
    </cfRule>
    <cfRule type="cellIs" dxfId="897" priority="211" stopIfTrue="1" operator="equal">
      <formula>"Pasa"</formula>
    </cfRule>
    <cfRule type="cellIs" dxfId="896" priority="212" stopIfTrue="1" operator="equal">
      <formula>"Falla"</formula>
    </cfRule>
    <cfRule type="cellIs" dxfId="895" priority="213" stopIfTrue="1" operator="equal">
      <formula>"N/A"</formula>
    </cfRule>
    <cfRule type="cellIs" dxfId="894" priority="214" stopIfTrue="1" operator="equal">
      <formula>"N/T"</formula>
    </cfRule>
    <cfRule type="cellIs" dxfId="893" priority="215" stopIfTrue="1" operator="equal">
      <formula>"N/D"</formula>
    </cfRule>
  </conditionalFormatting>
  <conditionalFormatting sqref="D855:D889">
    <cfRule type="cellIs" dxfId="892" priority="209" stopIfTrue="1" operator="equal">
      <formula>"-"</formula>
    </cfRule>
  </conditionalFormatting>
  <conditionalFormatting sqref="D893:D927">
    <cfRule type="expression" dxfId="891" priority="203" stopIfTrue="1">
      <formula>ISBLANK(D893)</formula>
    </cfRule>
    <cfRule type="cellIs" dxfId="890" priority="204" stopIfTrue="1" operator="equal">
      <formula>"Pasa"</formula>
    </cfRule>
    <cfRule type="cellIs" dxfId="889" priority="205" stopIfTrue="1" operator="equal">
      <formula>"Falla"</formula>
    </cfRule>
    <cfRule type="cellIs" dxfId="888" priority="206" stopIfTrue="1" operator="equal">
      <formula>"N/A"</formula>
    </cfRule>
    <cfRule type="cellIs" dxfId="887" priority="207" stopIfTrue="1" operator="equal">
      <formula>"N/T"</formula>
    </cfRule>
    <cfRule type="cellIs" dxfId="886" priority="208" stopIfTrue="1" operator="equal">
      <formula>"N/D"</formula>
    </cfRule>
  </conditionalFormatting>
  <conditionalFormatting sqref="D893:D927">
    <cfRule type="cellIs" dxfId="885" priority="202" stopIfTrue="1" operator="equal">
      <formula>"-"</formula>
    </cfRule>
  </conditionalFormatting>
  <conditionalFormatting sqref="D931:D965">
    <cfRule type="expression" dxfId="884" priority="196" stopIfTrue="1">
      <formula>ISBLANK(D931)</formula>
    </cfRule>
    <cfRule type="cellIs" dxfId="883" priority="197" stopIfTrue="1" operator="equal">
      <formula>"Pasa"</formula>
    </cfRule>
    <cfRule type="cellIs" dxfId="882" priority="198" stopIfTrue="1" operator="equal">
      <formula>"Falla"</formula>
    </cfRule>
    <cfRule type="cellIs" dxfId="881" priority="199" stopIfTrue="1" operator="equal">
      <formula>"N/A"</formula>
    </cfRule>
    <cfRule type="cellIs" dxfId="880" priority="200" stopIfTrue="1" operator="equal">
      <formula>"N/T"</formula>
    </cfRule>
    <cfRule type="cellIs" dxfId="879" priority="201" stopIfTrue="1" operator="equal">
      <formula>"N/D"</formula>
    </cfRule>
  </conditionalFormatting>
  <conditionalFormatting sqref="D931:D965">
    <cfRule type="cellIs" dxfId="878" priority="195" stopIfTrue="1" operator="equal">
      <formula>"-"</formula>
    </cfRule>
  </conditionalFormatting>
  <conditionalFormatting sqref="D969:D1003">
    <cfRule type="expression" dxfId="877" priority="189" stopIfTrue="1">
      <formula>ISBLANK(D969)</formula>
    </cfRule>
    <cfRule type="cellIs" dxfId="876" priority="190" stopIfTrue="1" operator="equal">
      <formula>"Pasa"</formula>
    </cfRule>
    <cfRule type="cellIs" dxfId="875" priority="191" stopIfTrue="1" operator="equal">
      <formula>"Falla"</formula>
    </cfRule>
    <cfRule type="cellIs" dxfId="874" priority="192" stopIfTrue="1" operator="equal">
      <formula>"N/A"</formula>
    </cfRule>
    <cfRule type="cellIs" dxfId="873" priority="193" stopIfTrue="1" operator="equal">
      <formula>"N/T"</formula>
    </cfRule>
    <cfRule type="cellIs" dxfId="872" priority="194" stopIfTrue="1" operator="equal">
      <formula>"N/D"</formula>
    </cfRule>
  </conditionalFormatting>
  <conditionalFormatting sqref="D969:D1003">
    <cfRule type="cellIs" dxfId="871" priority="188" stopIfTrue="1" operator="equal">
      <formula>"-"</formula>
    </cfRule>
  </conditionalFormatting>
  <conditionalFormatting sqref="D1007:D1041">
    <cfRule type="expression" dxfId="870" priority="182" stopIfTrue="1">
      <formula>ISBLANK(D1007)</formula>
    </cfRule>
    <cfRule type="cellIs" dxfId="869" priority="183" stopIfTrue="1" operator="equal">
      <formula>"Pasa"</formula>
    </cfRule>
    <cfRule type="cellIs" dxfId="868" priority="184" stopIfTrue="1" operator="equal">
      <formula>"Falla"</formula>
    </cfRule>
    <cfRule type="cellIs" dxfId="867" priority="185" stopIfTrue="1" operator="equal">
      <formula>"N/A"</formula>
    </cfRule>
    <cfRule type="cellIs" dxfId="866" priority="186" stopIfTrue="1" operator="equal">
      <formula>"N/T"</formula>
    </cfRule>
    <cfRule type="cellIs" dxfId="865" priority="187" stopIfTrue="1" operator="equal">
      <formula>"N/D"</formula>
    </cfRule>
  </conditionalFormatting>
  <conditionalFormatting sqref="D1007:D1041">
    <cfRule type="cellIs" dxfId="864" priority="181" stopIfTrue="1" operator="equal">
      <formula>"-"</formula>
    </cfRule>
  </conditionalFormatting>
  <conditionalFormatting sqref="D1045:D1079">
    <cfRule type="expression" dxfId="863" priority="175" stopIfTrue="1">
      <formula>ISBLANK(D1045)</formula>
    </cfRule>
    <cfRule type="cellIs" dxfId="862" priority="176" stopIfTrue="1" operator="equal">
      <formula>"Pasa"</formula>
    </cfRule>
    <cfRule type="cellIs" dxfId="861" priority="177" stopIfTrue="1" operator="equal">
      <formula>"Falla"</formula>
    </cfRule>
    <cfRule type="cellIs" dxfId="860" priority="178" stopIfTrue="1" operator="equal">
      <formula>"N/A"</formula>
    </cfRule>
    <cfRule type="cellIs" dxfId="859" priority="179" stopIfTrue="1" operator="equal">
      <formula>"N/T"</formula>
    </cfRule>
    <cfRule type="cellIs" dxfId="858" priority="180" stopIfTrue="1" operator="equal">
      <formula>"N/D"</formula>
    </cfRule>
  </conditionalFormatting>
  <conditionalFormatting sqref="D1045:D1079">
    <cfRule type="cellIs" dxfId="857" priority="174" stopIfTrue="1" operator="equal">
      <formula>"-"</formula>
    </cfRule>
  </conditionalFormatting>
  <conditionalFormatting sqref="D1083:D1117">
    <cfRule type="expression" dxfId="856" priority="168" stopIfTrue="1">
      <formula>ISBLANK(D1083)</formula>
    </cfRule>
    <cfRule type="cellIs" dxfId="855" priority="169" stopIfTrue="1" operator="equal">
      <formula>"Pasa"</formula>
    </cfRule>
    <cfRule type="cellIs" dxfId="854" priority="170" stopIfTrue="1" operator="equal">
      <formula>"Falla"</formula>
    </cfRule>
    <cfRule type="cellIs" dxfId="853" priority="171" stopIfTrue="1" operator="equal">
      <formula>"N/A"</formula>
    </cfRule>
    <cfRule type="cellIs" dxfId="852" priority="172" stopIfTrue="1" operator="equal">
      <formula>"N/T"</formula>
    </cfRule>
    <cfRule type="cellIs" dxfId="851" priority="173" stopIfTrue="1" operator="equal">
      <formula>"N/D"</formula>
    </cfRule>
  </conditionalFormatting>
  <conditionalFormatting sqref="D1083:D1117">
    <cfRule type="cellIs" dxfId="850" priority="167" stopIfTrue="1" operator="equal">
      <formula>"-"</formula>
    </cfRule>
  </conditionalFormatting>
  <conditionalFormatting sqref="D1121:D1155">
    <cfRule type="expression" dxfId="849" priority="161" stopIfTrue="1">
      <formula>ISBLANK(D1121)</formula>
    </cfRule>
    <cfRule type="cellIs" dxfId="848" priority="162" stopIfTrue="1" operator="equal">
      <formula>"Pasa"</formula>
    </cfRule>
    <cfRule type="cellIs" dxfId="847" priority="163" stopIfTrue="1" operator="equal">
      <formula>"Falla"</formula>
    </cfRule>
    <cfRule type="cellIs" dxfId="846" priority="164" stopIfTrue="1" operator="equal">
      <formula>"N/A"</formula>
    </cfRule>
    <cfRule type="cellIs" dxfId="845" priority="165" stopIfTrue="1" operator="equal">
      <formula>"N/T"</formula>
    </cfRule>
    <cfRule type="cellIs" dxfId="844" priority="166" stopIfTrue="1" operator="equal">
      <formula>"N/D"</formula>
    </cfRule>
  </conditionalFormatting>
  <conditionalFormatting sqref="D1121:D1155">
    <cfRule type="cellIs" dxfId="843" priority="160" stopIfTrue="1" operator="equal">
      <formula>"-"</formula>
    </cfRule>
  </conditionalFormatting>
  <conditionalFormatting sqref="D1159:D1193">
    <cfRule type="expression" dxfId="842" priority="154" stopIfTrue="1">
      <formula>ISBLANK(D1159)</formula>
    </cfRule>
    <cfRule type="cellIs" dxfId="841" priority="155" stopIfTrue="1" operator="equal">
      <formula>"Pasa"</formula>
    </cfRule>
    <cfRule type="cellIs" dxfId="840" priority="156" stopIfTrue="1" operator="equal">
      <formula>"Falla"</formula>
    </cfRule>
    <cfRule type="cellIs" dxfId="839" priority="157" stopIfTrue="1" operator="equal">
      <formula>"N/A"</formula>
    </cfRule>
    <cfRule type="cellIs" dxfId="838" priority="158" stopIfTrue="1" operator="equal">
      <formula>"N/T"</formula>
    </cfRule>
    <cfRule type="cellIs" dxfId="837" priority="159" stopIfTrue="1" operator="equal">
      <formula>"N/D"</formula>
    </cfRule>
  </conditionalFormatting>
  <conditionalFormatting sqref="D1159:D1193">
    <cfRule type="cellIs" dxfId="836" priority="153" stopIfTrue="1" operator="equal">
      <formula>"-"</formula>
    </cfRule>
  </conditionalFormatting>
  <conditionalFormatting sqref="D1197:D1231">
    <cfRule type="expression" dxfId="835" priority="147" stopIfTrue="1">
      <formula>ISBLANK(D1197)</formula>
    </cfRule>
    <cfRule type="cellIs" dxfId="834" priority="148" stopIfTrue="1" operator="equal">
      <formula>"Pasa"</formula>
    </cfRule>
    <cfRule type="cellIs" dxfId="833" priority="149" stopIfTrue="1" operator="equal">
      <formula>"Falla"</formula>
    </cfRule>
    <cfRule type="cellIs" dxfId="832" priority="150" stopIfTrue="1" operator="equal">
      <formula>"N/A"</formula>
    </cfRule>
    <cfRule type="cellIs" dxfId="831" priority="151" stopIfTrue="1" operator="equal">
      <formula>"N/T"</formula>
    </cfRule>
    <cfRule type="cellIs" dxfId="830" priority="152" stopIfTrue="1" operator="equal">
      <formula>"N/D"</formula>
    </cfRule>
  </conditionalFormatting>
  <conditionalFormatting sqref="D1197:D1231">
    <cfRule type="cellIs" dxfId="829" priority="146" stopIfTrue="1" operator="equal">
      <formula>"-"</formula>
    </cfRule>
  </conditionalFormatting>
  <conditionalFormatting sqref="D1235:D1269">
    <cfRule type="expression" dxfId="828" priority="140" stopIfTrue="1">
      <formula>ISBLANK(D1235)</formula>
    </cfRule>
    <cfRule type="cellIs" dxfId="827" priority="141" stopIfTrue="1" operator="equal">
      <formula>"Pasa"</formula>
    </cfRule>
    <cfRule type="cellIs" dxfId="826" priority="142" stopIfTrue="1" operator="equal">
      <formula>"Falla"</formula>
    </cfRule>
    <cfRule type="cellIs" dxfId="825" priority="143" stopIfTrue="1" operator="equal">
      <formula>"N/A"</formula>
    </cfRule>
    <cfRule type="cellIs" dxfId="824" priority="144" stopIfTrue="1" operator="equal">
      <formula>"N/T"</formula>
    </cfRule>
    <cfRule type="cellIs" dxfId="823" priority="145" stopIfTrue="1" operator="equal">
      <formula>"N/D"</formula>
    </cfRule>
  </conditionalFormatting>
  <conditionalFormatting sqref="D1235:D1269">
    <cfRule type="cellIs" dxfId="822" priority="139" stopIfTrue="1" operator="equal">
      <formula>"-"</formula>
    </cfRule>
  </conditionalFormatting>
  <conditionalFormatting sqref="D1273:D1307">
    <cfRule type="expression" dxfId="821" priority="133" stopIfTrue="1">
      <formula>ISBLANK(D1273)</formula>
    </cfRule>
    <cfRule type="cellIs" dxfId="820" priority="134" stopIfTrue="1" operator="equal">
      <formula>"Pasa"</formula>
    </cfRule>
    <cfRule type="cellIs" dxfId="819" priority="135" stopIfTrue="1" operator="equal">
      <formula>"Falla"</formula>
    </cfRule>
    <cfRule type="cellIs" dxfId="818" priority="136" stopIfTrue="1" operator="equal">
      <formula>"N/A"</formula>
    </cfRule>
    <cfRule type="cellIs" dxfId="817" priority="137" stopIfTrue="1" operator="equal">
      <formula>"N/T"</formula>
    </cfRule>
    <cfRule type="cellIs" dxfId="816" priority="138" stopIfTrue="1" operator="equal">
      <formula>"N/D"</formula>
    </cfRule>
  </conditionalFormatting>
  <conditionalFormatting sqref="D1273:D1307">
    <cfRule type="cellIs" dxfId="815" priority="132" stopIfTrue="1" operator="equal">
      <formula>"-"</formula>
    </cfRule>
  </conditionalFormatting>
  <conditionalFormatting sqref="D1311:D1345">
    <cfRule type="expression" dxfId="814" priority="126" stopIfTrue="1">
      <formula>ISBLANK(D1311)</formula>
    </cfRule>
    <cfRule type="cellIs" dxfId="813" priority="127" stopIfTrue="1" operator="equal">
      <formula>"Pasa"</formula>
    </cfRule>
    <cfRule type="cellIs" dxfId="812" priority="128" stopIfTrue="1" operator="equal">
      <formula>"Falla"</formula>
    </cfRule>
    <cfRule type="cellIs" dxfId="811" priority="129" stopIfTrue="1" operator="equal">
      <formula>"N/A"</formula>
    </cfRule>
    <cfRule type="cellIs" dxfId="810" priority="130" stopIfTrue="1" operator="equal">
      <formula>"N/T"</formula>
    </cfRule>
    <cfRule type="cellIs" dxfId="809" priority="131" stopIfTrue="1" operator="equal">
      <formula>"N/D"</formula>
    </cfRule>
  </conditionalFormatting>
  <conditionalFormatting sqref="D1311:D1345">
    <cfRule type="cellIs" dxfId="808" priority="125" stopIfTrue="1" operator="equal">
      <formula>"-"</formula>
    </cfRule>
  </conditionalFormatting>
  <conditionalFormatting sqref="D1349:D1383">
    <cfRule type="expression" dxfId="807" priority="119" stopIfTrue="1">
      <formula>ISBLANK(D1349)</formula>
    </cfRule>
    <cfRule type="cellIs" dxfId="806" priority="120" stopIfTrue="1" operator="equal">
      <formula>"Pasa"</formula>
    </cfRule>
    <cfRule type="cellIs" dxfId="805" priority="121" stopIfTrue="1" operator="equal">
      <formula>"Falla"</formula>
    </cfRule>
    <cfRule type="cellIs" dxfId="804" priority="122" stopIfTrue="1" operator="equal">
      <formula>"N/A"</formula>
    </cfRule>
    <cfRule type="cellIs" dxfId="803" priority="123" stopIfTrue="1" operator="equal">
      <formula>"N/T"</formula>
    </cfRule>
    <cfRule type="cellIs" dxfId="802" priority="124" stopIfTrue="1" operator="equal">
      <formula>"N/D"</formula>
    </cfRule>
  </conditionalFormatting>
  <conditionalFormatting sqref="D1349:D1383">
    <cfRule type="cellIs" dxfId="801" priority="118" stopIfTrue="1" operator="equal">
      <formula>"-"</formula>
    </cfRule>
  </conditionalFormatting>
  <conditionalFormatting sqref="D1387:D1421">
    <cfRule type="expression" dxfId="800" priority="112" stopIfTrue="1">
      <formula>ISBLANK(D1387)</formula>
    </cfRule>
    <cfRule type="cellIs" dxfId="799" priority="113" stopIfTrue="1" operator="equal">
      <formula>"Pasa"</formula>
    </cfRule>
    <cfRule type="cellIs" dxfId="798" priority="114" stopIfTrue="1" operator="equal">
      <formula>"Falla"</formula>
    </cfRule>
    <cfRule type="cellIs" dxfId="797" priority="115" stopIfTrue="1" operator="equal">
      <formula>"N/A"</formula>
    </cfRule>
    <cfRule type="cellIs" dxfId="796" priority="116" stopIfTrue="1" operator="equal">
      <formula>"N/T"</formula>
    </cfRule>
    <cfRule type="cellIs" dxfId="795" priority="117" stopIfTrue="1" operator="equal">
      <formula>"N/D"</formula>
    </cfRule>
  </conditionalFormatting>
  <conditionalFormatting sqref="D1387:D1421">
    <cfRule type="cellIs" dxfId="794" priority="111" stopIfTrue="1" operator="equal">
      <formula>"-"</formula>
    </cfRule>
  </conditionalFormatting>
  <conditionalFormatting sqref="D1425:D1459">
    <cfRule type="expression" dxfId="793" priority="105" stopIfTrue="1">
      <formula>ISBLANK(D1425)</formula>
    </cfRule>
    <cfRule type="cellIs" dxfId="792" priority="106" stopIfTrue="1" operator="equal">
      <formula>"Pasa"</formula>
    </cfRule>
    <cfRule type="cellIs" dxfId="791" priority="107" stopIfTrue="1" operator="equal">
      <formula>"Falla"</formula>
    </cfRule>
    <cfRule type="cellIs" dxfId="790" priority="108" stopIfTrue="1" operator="equal">
      <formula>"N/A"</formula>
    </cfRule>
    <cfRule type="cellIs" dxfId="789" priority="109" stopIfTrue="1" operator="equal">
      <formula>"N/T"</formula>
    </cfRule>
    <cfRule type="cellIs" dxfId="788" priority="110" stopIfTrue="1" operator="equal">
      <formula>"N/D"</formula>
    </cfRule>
  </conditionalFormatting>
  <conditionalFormatting sqref="D1425:D1459">
    <cfRule type="cellIs" dxfId="787" priority="104" stopIfTrue="1" operator="equal">
      <formula>"-"</formula>
    </cfRule>
  </conditionalFormatting>
  <conditionalFormatting sqref="D1463:D1497">
    <cfRule type="expression" dxfId="786" priority="98" stopIfTrue="1">
      <formula>ISBLANK(D1463)</formula>
    </cfRule>
    <cfRule type="cellIs" dxfId="785" priority="99" stopIfTrue="1" operator="equal">
      <formula>"Pasa"</formula>
    </cfRule>
    <cfRule type="cellIs" dxfId="784" priority="100" stopIfTrue="1" operator="equal">
      <formula>"Falla"</formula>
    </cfRule>
    <cfRule type="cellIs" dxfId="783" priority="101" stopIfTrue="1" operator="equal">
      <formula>"N/A"</formula>
    </cfRule>
    <cfRule type="cellIs" dxfId="782" priority="102" stopIfTrue="1" operator="equal">
      <formula>"N/T"</formula>
    </cfRule>
    <cfRule type="cellIs" dxfId="781" priority="103" stopIfTrue="1" operator="equal">
      <formula>"N/D"</formula>
    </cfRule>
  </conditionalFormatting>
  <conditionalFormatting sqref="D1463:D1497">
    <cfRule type="cellIs" dxfId="780" priority="97" stopIfTrue="1" operator="equal">
      <formula>"-"</formula>
    </cfRule>
  </conditionalFormatting>
  <conditionalFormatting sqref="D1501:D1535">
    <cfRule type="expression" dxfId="779" priority="91" stopIfTrue="1">
      <formula>ISBLANK(D1501)</formula>
    </cfRule>
    <cfRule type="cellIs" dxfId="778" priority="92" stopIfTrue="1" operator="equal">
      <formula>"Pasa"</formula>
    </cfRule>
    <cfRule type="cellIs" dxfId="777" priority="93" stopIfTrue="1" operator="equal">
      <formula>"Falla"</formula>
    </cfRule>
    <cfRule type="cellIs" dxfId="776" priority="94" stopIfTrue="1" operator="equal">
      <formula>"N/A"</formula>
    </cfRule>
    <cfRule type="cellIs" dxfId="775" priority="95" stopIfTrue="1" operator="equal">
      <formula>"N/T"</formula>
    </cfRule>
    <cfRule type="cellIs" dxfId="774" priority="96" stopIfTrue="1" operator="equal">
      <formula>"N/D"</formula>
    </cfRule>
  </conditionalFormatting>
  <conditionalFormatting sqref="D1501:D1535">
    <cfRule type="cellIs" dxfId="773" priority="90" stopIfTrue="1" operator="equal">
      <formula>"-"</formula>
    </cfRule>
  </conditionalFormatting>
  <conditionalFormatting sqref="D1539:D1573">
    <cfRule type="expression" dxfId="772" priority="84" stopIfTrue="1">
      <formula>ISBLANK(D1539)</formula>
    </cfRule>
    <cfRule type="cellIs" dxfId="771" priority="85" stopIfTrue="1" operator="equal">
      <formula>"Pasa"</formula>
    </cfRule>
    <cfRule type="cellIs" dxfId="770" priority="86" stopIfTrue="1" operator="equal">
      <formula>"Falla"</formula>
    </cfRule>
    <cfRule type="cellIs" dxfId="769" priority="87" stopIfTrue="1" operator="equal">
      <formula>"N/A"</formula>
    </cfRule>
    <cfRule type="cellIs" dxfId="768" priority="88" stopIfTrue="1" operator="equal">
      <formula>"N/T"</formula>
    </cfRule>
    <cfRule type="cellIs" dxfId="767" priority="89" stopIfTrue="1" operator="equal">
      <formula>"N/D"</formula>
    </cfRule>
  </conditionalFormatting>
  <conditionalFormatting sqref="D1539:D1573">
    <cfRule type="cellIs" dxfId="766" priority="83" stopIfTrue="1" operator="equal">
      <formula>"-"</formula>
    </cfRule>
  </conditionalFormatting>
  <conditionalFormatting sqref="D1577:D1611">
    <cfRule type="expression" dxfId="765" priority="77" stopIfTrue="1">
      <formula>ISBLANK(D1577)</formula>
    </cfRule>
    <cfRule type="cellIs" dxfId="764" priority="78" stopIfTrue="1" operator="equal">
      <formula>"Pasa"</formula>
    </cfRule>
    <cfRule type="cellIs" dxfId="763" priority="79" stopIfTrue="1" operator="equal">
      <formula>"Falla"</formula>
    </cfRule>
    <cfRule type="cellIs" dxfId="762" priority="80" stopIfTrue="1" operator="equal">
      <formula>"N/A"</formula>
    </cfRule>
    <cfRule type="cellIs" dxfId="761" priority="81" stopIfTrue="1" operator="equal">
      <formula>"N/T"</formula>
    </cfRule>
    <cfRule type="cellIs" dxfId="760" priority="82" stopIfTrue="1" operator="equal">
      <formula>"N/D"</formula>
    </cfRule>
  </conditionalFormatting>
  <conditionalFormatting sqref="D1577:D1611">
    <cfRule type="cellIs" dxfId="759" priority="76" stopIfTrue="1" operator="equal">
      <formula>"-"</formula>
    </cfRule>
  </conditionalFormatting>
  <conditionalFormatting sqref="D1615:D1649">
    <cfRule type="expression" dxfId="758" priority="70" stopIfTrue="1">
      <formula>ISBLANK(D1615)</formula>
    </cfRule>
    <cfRule type="cellIs" dxfId="757" priority="71" stopIfTrue="1" operator="equal">
      <formula>"Pasa"</formula>
    </cfRule>
    <cfRule type="cellIs" dxfId="756" priority="72" stopIfTrue="1" operator="equal">
      <formula>"Falla"</formula>
    </cfRule>
    <cfRule type="cellIs" dxfId="755" priority="73" stopIfTrue="1" operator="equal">
      <formula>"N/A"</formula>
    </cfRule>
    <cfRule type="cellIs" dxfId="754" priority="74" stopIfTrue="1" operator="equal">
      <formula>"N/T"</formula>
    </cfRule>
    <cfRule type="cellIs" dxfId="753" priority="75" stopIfTrue="1" operator="equal">
      <formula>"N/D"</formula>
    </cfRule>
  </conditionalFormatting>
  <conditionalFormatting sqref="D1615:D1649">
    <cfRule type="cellIs" dxfId="752" priority="69" stopIfTrue="1" operator="equal">
      <formula>"-"</formula>
    </cfRule>
  </conditionalFormatting>
  <conditionalFormatting sqref="D1653:D1687">
    <cfRule type="expression" dxfId="751" priority="63" stopIfTrue="1">
      <formula>ISBLANK(D1653)</formula>
    </cfRule>
    <cfRule type="cellIs" dxfId="750" priority="64" stopIfTrue="1" operator="equal">
      <formula>"Pasa"</formula>
    </cfRule>
    <cfRule type="cellIs" dxfId="749" priority="65" stopIfTrue="1" operator="equal">
      <formula>"Falla"</formula>
    </cfRule>
    <cfRule type="cellIs" dxfId="748" priority="66" stopIfTrue="1" operator="equal">
      <formula>"N/A"</formula>
    </cfRule>
    <cfRule type="cellIs" dxfId="747" priority="67" stopIfTrue="1" operator="equal">
      <formula>"N/T"</formula>
    </cfRule>
    <cfRule type="cellIs" dxfId="746" priority="68" stopIfTrue="1" operator="equal">
      <formula>"N/D"</formula>
    </cfRule>
  </conditionalFormatting>
  <conditionalFormatting sqref="D1653:D1687">
    <cfRule type="cellIs" dxfId="745" priority="62" stopIfTrue="1" operator="equal">
      <formula>"-"</formula>
    </cfRule>
  </conditionalFormatting>
  <conditionalFormatting sqref="D1691:D1725">
    <cfRule type="expression" dxfId="744" priority="56" stopIfTrue="1">
      <formula>ISBLANK(D1691)</formula>
    </cfRule>
    <cfRule type="cellIs" dxfId="743" priority="57" stopIfTrue="1" operator="equal">
      <formula>"Pasa"</formula>
    </cfRule>
    <cfRule type="cellIs" dxfId="742" priority="58" stopIfTrue="1" operator="equal">
      <formula>"Falla"</formula>
    </cfRule>
    <cfRule type="cellIs" dxfId="741" priority="59" stopIfTrue="1" operator="equal">
      <formula>"N/A"</formula>
    </cfRule>
    <cfRule type="cellIs" dxfId="740" priority="60" stopIfTrue="1" operator="equal">
      <formula>"N/T"</formula>
    </cfRule>
    <cfRule type="cellIs" dxfId="739" priority="61" stopIfTrue="1" operator="equal">
      <formula>"N/D"</formula>
    </cfRule>
  </conditionalFormatting>
  <conditionalFormatting sqref="D1691:D1725">
    <cfRule type="cellIs" dxfId="738" priority="55" stopIfTrue="1" operator="equal">
      <formula>"-"</formula>
    </cfRule>
  </conditionalFormatting>
  <conditionalFormatting sqref="D1729:D1763">
    <cfRule type="expression" dxfId="737" priority="49" stopIfTrue="1">
      <formula>ISBLANK(D1729)</formula>
    </cfRule>
    <cfRule type="cellIs" dxfId="736" priority="50" stopIfTrue="1" operator="equal">
      <formula>"Pasa"</formula>
    </cfRule>
    <cfRule type="cellIs" dxfId="735" priority="51" stopIfTrue="1" operator="equal">
      <formula>"Falla"</formula>
    </cfRule>
    <cfRule type="cellIs" dxfId="734" priority="52" stopIfTrue="1" operator="equal">
      <formula>"N/A"</formula>
    </cfRule>
    <cfRule type="cellIs" dxfId="733" priority="53" stopIfTrue="1" operator="equal">
      <formula>"N/T"</formula>
    </cfRule>
    <cfRule type="cellIs" dxfId="732" priority="54" stopIfTrue="1" operator="equal">
      <formula>"N/D"</formula>
    </cfRule>
  </conditionalFormatting>
  <conditionalFormatting sqref="D1729:D1763">
    <cfRule type="cellIs" dxfId="731" priority="48" stopIfTrue="1" operator="equal">
      <formula>"-"</formula>
    </cfRule>
  </conditionalFormatting>
  <conditionalFormatting sqref="D1767:D1801">
    <cfRule type="expression" dxfId="730" priority="42" stopIfTrue="1">
      <formula>ISBLANK(D1767)</formula>
    </cfRule>
    <cfRule type="cellIs" dxfId="729" priority="43" stopIfTrue="1" operator="equal">
      <formula>"Pasa"</formula>
    </cfRule>
    <cfRule type="cellIs" dxfId="728" priority="44" stopIfTrue="1" operator="equal">
      <formula>"Falla"</formula>
    </cfRule>
    <cfRule type="cellIs" dxfId="727" priority="45" stopIfTrue="1" operator="equal">
      <formula>"N/A"</formula>
    </cfRule>
    <cfRule type="cellIs" dxfId="726" priority="46" stopIfTrue="1" operator="equal">
      <formula>"N/T"</formula>
    </cfRule>
    <cfRule type="cellIs" dxfId="725" priority="47" stopIfTrue="1" operator="equal">
      <formula>"N/D"</formula>
    </cfRule>
  </conditionalFormatting>
  <conditionalFormatting sqref="D1767:D1801">
    <cfRule type="cellIs" dxfId="724" priority="41" stopIfTrue="1" operator="equal">
      <formula>"-"</formula>
    </cfRule>
  </conditionalFormatting>
  <conditionalFormatting sqref="D1805:D1839">
    <cfRule type="expression" dxfId="723" priority="35" stopIfTrue="1">
      <formula>ISBLANK(D1805)</formula>
    </cfRule>
    <cfRule type="cellIs" dxfId="722" priority="36" stopIfTrue="1" operator="equal">
      <formula>"Pasa"</formula>
    </cfRule>
    <cfRule type="cellIs" dxfId="721" priority="37" stopIfTrue="1" operator="equal">
      <formula>"Falla"</formula>
    </cfRule>
    <cfRule type="cellIs" dxfId="720" priority="38" stopIfTrue="1" operator="equal">
      <formula>"N/A"</formula>
    </cfRule>
    <cfRule type="cellIs" dxfId="719" priority="39" stopIfTrue="1" operator="equal">
      <formula>"N/T"</formula>
    </cfRule>
    <cfRule type="cellIs" dxfId="718" priority="40" stopIfTrue="1" operator="equal">
      <formula>"N/D"</formula>
    </cfRule>
  </conditionalFormatting>
  <conditionalFormatting sqref="D1805:D1839">
    <cfRule type="cellIs" dxfId="717" priority="34" stopIfTrue="1" operator="equal">
      <formula>"-"</formula>
    </cfRule>
  </conditionalFormatting>
  <conditionalFormatting sqref="D1843:D1877">
    <cfRule type="expression" dxfId="716" priority="28" stopIfTrue="1">
      <formula>ISBLANK(D1843)</formula>
    </cfRule>
    <cfRule type="cellIs" dxfId="715" priority="29" stopIfTrue="1" operator="equal">
      <formula>"Pasa"</formula>
    </cfRule>
    <cfRule type="cellIs" dxfId="714" priority="30" stopIfTrue="1" operator="equal">
      <formula>"Falla"</formula>
    </cfRule>
    <cfRule type="cellIs" dxfId="713" priority="31" stopIfTrue="1" operator="equal">
      <formula>"N/A"</formula>
    </cfRule>
    <cfRule type="cellIs" dxfId="712" priority="32" stopIfTrue="1" operator="equal">
      <formula>"N/T"</formula>
    </cfRule>
    <cfRule type="cellIs" dxfId="711" priority="33" stopIfTrue="1" operator="equal">
      <formula>"N/D"</formula>
    </cfRule>
  </conditionalFormatting>
  <conditionalFormatting sqref="D1843:D1877">
    <cfRule type="cellIs" dxfId="710" priority="27" stopIfTrue="1" operator="equal">
      <formula>"-"</formula>
    </cfRule>
  </conditionalFormatting>
  <conditionalFormatting sqref="K23">
    <cfRule type="expression" dxfId="709" priority="21" stopIfTrue="1">
      <formula>ISBLANK(K23)</formula>
    </cfRule>
    <cfRule type="cellIs" dxfId="708" priority="22" stopIfTrue="1" operator="equal">
      <formula>"Pasa"</formula>
    </cfRule>
    <cfRule type="cellIs" dxfId="707" priority="23" stopIfTrue="1" operator="equal">
      <formula>"Falla"</formula>
    </cfRule>
    <cfRule type="cellIs" dxfId="706" priority="24" stopIfTrue="1" operator="equal">
      <formula>"N/A"</formula>
    </cfRule>
    <cfRule type="cellIs" dxfId="705" priority="25" stopIfTrue="1" operator="equal">
      <formula>"N/T"</formula>
    </cfRule>
    <cfRule type="cellIs" dxfId="704" priority="26" stopIfTrue="1" operator="equal">
      <formula>"N/D"</formula>
    </cfRule>
  </conditionalFormatting>
  <conditionalFormatting sqref="K24">
    <cfRule type="expression" dxfId="703" priority="15" stopIfTrue="1">
      <formula>ISBLANK(K24)</formula>
    </cfRule>
    <cfRule type="cellIs" dxfId="702" priority="16" stopIfTrue="1" operator="equal">
      <formula>"Pasa"</formula>
    </cfRule>
    <cfRule type="cellIs" dxfId="701" priority="17" stopIfTrue="1" operator="equal">
      <formula>"Falla"</formula>
    </cfRule>
    <cfRule type="cellIs" dxfId="700" priority="18" stopIfTrue="1" operator="equal">
      <formula>"N/A"</formula>
    </cfRule>
    <cfRule type="cellIs" dxfId="699" priority="19" stopIfTrue="1" operator="equal">
      <formula>"N/T"</formula>
    </cfRule>
    <cfRule type="cellIs" dxfId="698" priority="20" stopIfTrue="1" operator="equal">
      <formula>"N/D"</formula>
    </cfRule>
  </conditionalFormatting>
  <conditionalFormatting sqref="E1881:E1915">
    <cfRule type="cellIs" dxfId="697" priority="8" stopIfTrue="1" operator="equal">
      <formula>"ERR"</formula>
    </cfRule>
  </conditionalFormatting>
  <conditionalFormatting sqref="D1881:D1915">
    <cfRule type="expression" dxfId="696" priority="2" stopIfTrue="1">
      <formula>ISBLANK(D1881)</formula>
    </cfRule>
    <cfRule type="cellIs" dxfId="695" priority="3" stopIfTrue="1" operator="equal">
      <formula>"Pasa"</formula>
    </cfRule>
    <cfRule type="cellIs" dxfId="694" priority="4" stopIfTrue="1" operator="equal">
      <formula>"Falla"</formula>
    </cfRule>
    <cfRule type="cellIs" dxfId="693" priority="5" stopIfTrue="1" operator="equal">
      <formula>"N/A"</formula>
    </cfRule>
    <cfRule type="cellIs" dxfId="692" priority="6" stopIfTrue="1" operator="equal">
      <formula>"N/T"</formula>
    </cfRule>
    <cfRule type="cellIs" dxfId="691" priority="7" stopIfTrue="1" operator="equal">
      <formula>"N/D"</formula>
    </cfRule>
  </conditionalFormatting>
  <conditionalFormatting sqref="D1881:D1915">
    <cfRule type="cellIs" dxfId="69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topLeftCell="A1720" zoomScale="80" zoomScaleNormal="80" workbookViewId="0">
      <selection activeCell="D1691" sqref="D1691"/>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2"/>
      <c r="C6" s="132"/>
      <c r="D6" s="132"/>
      <c r="E6" s="133"/>
      <c r="F6" s="132"/>
      <c r="G6" s="132"/>
      <c r="H6" s="132"/>
      <c r="I6" s="132"/>
      <c r="J6" s="132"/>
      <c r="K6" s="132"/>
      <c r="L6" s="132"/>
      <c r="M6" s="132"/>
      <c r="N6" s="18"/>
      <c r="O6" s="18"/>
    </row>
    <row r="7" spans="1:64" ht="12.65" customHeight="1">
      <c r="B7" s="18"/>
      <c r="C7" s="18"/>
      <c r="D7" s="18"/>
      <c r="E7" s="79"/>
      <c r="F7" s="18"/>
      <c r="G7" s="18"/>
      <c r="H7" s="18"/>
      <c r="I7" s="18"/>
      <c r="J7" s="18"/>
      <c r="K7" s="18"/>
      <c r="L7" s="18"/>
      <c r="M7" s="18"/>
      <c r="N7" s="18"/>
      <c r="O7" s="18"/>
    </row>
    <row r="8" spans="1:64" ht="18.899999999999999" customHeight="1">
      <c r="B8" s="236" t="s">
        <v>191</v>
      </c>
      <c r="C8" s="236"/>
      <c r="D8" s="236"/>
      <c r="E8" s="236"/>
      <c r="F8" s="236"/>
      <c r="G8" s="236"/>
      <c r="H8" s="236"/>
      <c r="I8" s="236"/>
      <c r="J8" s="236"/>
      <c r="K8" s="236"/>
      <c r="L8" s="236"/>
      <c r="M8" s="236"/>
      <c r="N8" s="18"/>
      <c r="O8" s="18"/>
    </row>
    <row r="9" spans="1:64" ht="24" customHeight="1">
      <c r="B9" s="235" t="s">
        <v>192</v>
      </c>
      <c r="C9" s="235"/>
      <c r="D9" s="235"/>
      <c r="E9" s="235"/>
      <c r="F9" s="235"/>
      <c r="G9" s="235"/>
      <c r="H9" s="235"/>
      <c r="I9" s="235"/>
      <c r="J9" s="235"/>
      <c r="K9" s="235"/>
      <c r="L9" s="235"/>
      <c r="M9" s="235"/>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33" t="s">
        <v>85</v>
      </c>
      <c r="C11" s="234"/>
      <c r="D11" s="26"/>
      <c r="E11" s="14"/>
      <c r="F11" s="195" t="s">
        <v>86</v>
      </c>
      <c r="G11" s="104" t="s">
        <v>87</v>
      </c>
      <c r="H11" s="196" t="s">
        <v>88</v>
      </c>
      <c r="I11" s="22"/>
      <c r="J11" s="195" t="s">
        <v>89</v>
      </c>
      <c r="K11" s="104" t="s">
        <v>87</v>
      </c>
      <c r="L11" s="196" t="s">
        <v>88</v>
      </c>
      <c r="M11" s="18"/>
      <c r="N11" s="18"/>
      <c r="O11" s="18"/>
      <c r="P11" s="18"/>
      <c r="Q11" s="18"/>
      <c r="R11" s="18"/>
      <c r="U11" s="18"/>
      <c r="V11" s="18"/>
      <c r="W11" s="18"/>
      <c r="X11" s="18"/>
      <c r="Y11" s="18"/>
    </row>
    <row r="12" spans="1:64" ht="12" customHeight="1">
      <c r="B12" s="107" t="s">
        <v>90</v>
      </c>
      <c r="C12" s="197">
        <f>COUNTIF($B$18:$B$3922,B12)</f>
        <v>45</v>
      </c>
      <c r="D12" s="26"/>
      <c r="E12" s="14"/>
      <c r="F12" s="198" t="s">
        <v>91</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2" t="s">
        <v>92</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7"/>
      <c r="C13" s="197"/>
      <c r="D13" s="26"/>
      <c r="E13" s="14"/>
      <c r="F13" s="198" t="s">
        <v>93</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2" t="s">
        <v>94</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199" t="s">
        <v>95</v>
      </c>
      <c r="C14" s="200">
        <f>C12+C13</f>
        <v>45</v>
      </c>
      <c r="D14" s="26"/>
      <c r="E14" s="14"/>
      <c r="F14" s="198" t="s">
        <v>96</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2" t="s">
        <v>97</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199" t="s">
        <v>95</v>
      </c>
      <c r="G15" s="202">
        <f ca="1">SUM(G12:G14)</f>
        <v>0</v>
      </c>
      <c r="H15" s="203">
        <f ca="1">SUM(H12:H14)</f>
        <v>0</v>
      </c>
      <c r="I15" s="26"/>
      <c r="J15" s="199" t="s">
        <v>95</v>
      </c>
      <c r="K15" s="202">
        <f ca="1">SUM(K12:K13)</f>
        <v>0</v>
      </c>
      <c r="L15" s="203">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2" t="s">
        <v>98</v>
      </c>
      <c r="B18" s="23" t="s">
        <v>90</v>
      </c>
      <c r="C18" s="24" t="s">
        <v>193</v>
      </c>
      <c r="D18" s="25" t="s">
        <v>100</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c r="E19" s="79" t="str">
        <f t="shared" ref="E19:E53" si="0">IF(D19&lt;&gt;"",IF(AND(B19&lt;&gt;"",C19&lt;&gt;""),"","ERR"),"")</f>
        <v/>
      </c>
      <c r="F19" s="86" t="s">
        <v>101</v>
      </c>
      <c r="G19" s="87" t="s">
        <v>102</v>
      </c>
      <c r="H19" s="88" t="s">
        <v>103</v>
      </c>
      <c r="I19" s="89" t="s">
        <v>93</v>
      </c>
      <c r="J19" s="90" t="s">
        <v>91</v>
      </c>
      <c r="K19" s="178" t="s">
        <v>97</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79">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69" t="s">
        <v>101</v>
      </c>
      <c r="L22" s="92" t="s">
        <v>104</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103</v>
      </c>
      <c r="L23" s="92" t="s">
        <v>105</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102</v>
      </c>
      <c r="L24" s="92" t="s">
        <v>106</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2" t="s">
        <v>98</v>
      </c>
      <c r="B56" s="23" t="s">
        <v>90</v>
      </c>
      <c r="C56" s="24" t="s">
        <v>194</v>
      </c>
      <c r="D56" s="25" t="s">
        <v>100</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c r="E57" s="79" t="str">
        <f t="shared" ref="E57:E91" si="2">IF(D57&lt;&gt;"",IF(AND(B57&lt;&gt;"",C57&lt;&gt;""),"","ERR"),"")</f>
        <v/>
      </c>
      <c r="F57" s="86" t="s">
        <v>101</v>
      </c>
      <c r="G57" s="87" t="s">
        <v>102</v>
      </c>
      <c r="H57" s="88" t="s">
        <v>103</v>
      </c>
      <c r="I57" s="89" t="s">
        <v>93</v>
      </c>
      <c r="J57" s="90" t="s">
        <v>91</v>
      </c>
      <c r="K57" s="178" t="s">
        <v>97</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79">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ref="D59:D91" si="3">IF(AND(B59&lt;&gt;"",C59&lt;&gt;""),"N/T","")</f>
        <v/>
      </c>
      <c r="E59" s="79" t="str">
        <f t="shared" si="2"/>
        <v/>
      </c>
      <c r="G59" s="18"/>
      <c r="H59" s="18"/>
      <c r="I59" s="18"/>
      <c r="J59" s="18"/>
      <c r="K59" s="183"/>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3"/>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3"/>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3"/>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3"/>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3"/>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3"/>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3"/>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3"/>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3"/>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3"/>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3"/>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3"/>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3"/>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3"/>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3"/>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3"/>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3"/>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3"/>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3"/>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3"/>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3"/>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3"/>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3"/>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3"/>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3"/>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3"/>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3"/>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3"/>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3"/>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3"/>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3"/>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3"/>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3"/>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3"/>
      <c r="L93" s="18"/>
      <c r="M93" s="18"/>
      <c r="N93" s="18"/>
      <c r="O93" s="18"/>
      <c r="P93" s="18"/>
      <c r="Q93" s="18"/>
      <c r="R93" s="18"/>
      <c r="S93" s="18"/>
      <c r="T93" s="18"/>
      <c r="U93" s="18"/>
      <c r="V93" s="18"/>
      <c r="W93" s="18"/>
      <c r="X93" s="18"/>
      <c r="Y93" s="18"/>
    </row>
    <row r="94" spans="1:25" ht="32.25" customHeight="1">
      <c r="A94" s="172" t="s">
        <v>98</v>
      </c>
      <c r="B94" s="23" t="s">
        <v>90</v>
      </c>
      <c r="C94" s="24" t="s">
        <v>195</v>
      </c>
      <c r="D94" s="25" t="s">
        <v>100</v>
      </c>
      <c r="E94" s="93"/>
      <c r="K94" s="183"/>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c r="E95" s="79" t="str">
        <f t="shared" ref="E95:E129" si="4">IF(D95&lt;&gt;"",IF(AND(B95&lt;&gt;"",C95&lt;&gt;""),"","ERR"),"")</f>
        <v/>
      </c>
      <c r="F95" s="86" t="s">
        <v>101</v>
      </c>
      <c r="G95" s="87" t="s">
        <v>102</v>
      </c>
      <c r="H95" s="88" t="s">
        <v>103</v>
      </c>
      <c r="I95" s="89" t="s">
        <v>93</v>
      </c>
      <c r="J95" s="90" t="s">
        <v>91</v>
      </c>
      <c r="K95" s="178" t="s">
        <v>97</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79">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3"/>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3"/>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3"/>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3"/>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3"/>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3"/>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3"/>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3"/>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3"/>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3"/>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3"/>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3"/>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3"/>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3"/>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3"/>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3"/>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3"/>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3"/>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3"/>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3"/>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3"/>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3"/>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3"/>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3"/>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3"/>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3"/>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3"/>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3"/>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3"/>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3"/>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3"/>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3"/>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3"/>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3"/>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3"/>
      <c r="L131" s="18"/>
      <c r="M131" s="18"/>
      <c r="N131" s="18"/>
      <c r="O131" s="18"/>
      <c r="P131" s="18"/>
      <c r="Q131" s="18"/>
      <c r="R131" s="18"/>
      <c r="S131" s="18"/>
      <c r="T131" s="18"/>
      <c r="U131" s="18"/>
      <c r="V131" s="18"/>
      <c r="W131" s="18"/>
      <c r="X131" s="18"/>
      <c r="Y131" s="18"/>
    </row>
    <row r="132" spans="1:25" ht="32.25" customHeight="1">
      <c r="A132" s="172" t="s">
        <v>98</v>
      </c>
      <c r="B132" s="23" t="s">
        <v>90</v>
      </c>
      <c r="C132" s="24" t="s">
        <v>196</v>
      </c>
      <c r="D132" s="25" t="s">
        <v>100</v>
      </c>
      <c r="E132" s="93"/>
      <c r="K132" s="183"/>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c r="E133" s="79" t="str">
        <f t="shared" ref="E133:E167" si="6">IF(D133&lt;&gt;"",IF(AND(B133&lt;&gt;"",C133&lt;&gt;""),"","ERR"),"")</f>
        <v/>
      </c>
      <c r="F133" s="86" t="s">
        <v>101</v>
      </c>
      <c r="G133" s="87" t="s">
        <v>102</v>
      </c>
      <c r="H133" s="88" t="s">
        <v>103</v>
      </c>
      <c r="I133" s="89" t="s">
        <v>93</v>
      </c>
      <c r="J133" s="90" t="s">
        <v>91</v>
      </c>
      <c r="K133" s="178" t="s">
        <v>97</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79">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3"/>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3"/>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3"/>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3"/>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3"/>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3"/>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3"/>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3"/>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3"/>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3"/>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3"/>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3"/>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3"/>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3"/>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3"/>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3"/>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3"/>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3"/>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3"/>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3"/>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3"/>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3"/>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3"/>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3"/>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3"/>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3"/>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3"/>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3"/>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3"/>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3"/>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3"/>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3"/>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3"/>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3"/>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3"/>
      <c r="L169" s="18"/>
      <c r="M169" s="18"/>
      <c r="N169" s="18"/>
      <c r="O169" s="18"/>
      <c r="P169" s="18"/>
      <c r="Q169" s="18"/>
      <c r="R169" s="18"/>
      <c r="S169" s="18"/>
      <c r="T169" s="18"/>
      <c r="U169" s="18"/>
      <c r="V169" s="18"/>
      <c r="W169" s="18"/>
      <c r="X169" s="18"/>
      <c r="Y169" s="18"/>
    </row>
    <row r="170" spans="1:25" ht="32.25" customHeight="1">
      <c r="A170" s="172" t="s">
        <v>98</v>
      </c>
      <c r="B170" s="23" t="s">
        <v>90</v>
      </c>
      <c r="C170" s="24" t="s">
        <v>197</v>
      </c>
      <c r="D170" s="25" t="s">
        <v>100</v>
      </c>
      <c r="E170" s="93"/>
      <c r="K170" s="183"/>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c r="E171" s="79" t="str">
        <f t="shared" ref="E171:E205" si="8">IF(D171&lt;&gt;"",IF(AND(B171&lt;&gt;"",C171&lt;&gt;""),"","ERR"),"")</f>
        <v/>
      </c>
      <c r="F171" s="86" t="s">
        <v>101</v>
      </c>
      <c r="G171" s="87" t="s">
        <v>102</v>
      </c>
      <c r="H171" s="88" t="s">
        <v>103</v>
      </c>
      <c r="I171" s="89" t="s">
        <v>93</v>
      </c>
      <c r="J171" s="90" t="s">
        <v>91</v>
      </c>
      <c r="K171" s="178" t="s">
        <v>97</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79">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3"/>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3"/>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3"/>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3"/>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3"/>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3"/>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3"/>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3"/>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3"/>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3"/>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3"/>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3"/>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3"/>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3"/>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3"/>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3"/>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3"/>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3"/>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3"/>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3"/>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3"/>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3"/>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3"/>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3"/>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3"/>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3"/>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3"/>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3"/>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3"/>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3"/>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3"/>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3"/>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3"/>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3"/>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3"/>
      <c r="L207" s="18"/>
      <c r="M207" s="18"/>
      <c r="N207" s="18"/>
      <c r="O207" s="18"/>
      <c r="P207" s="18"/>
      <c r="Q207" s="18"/>
      <c r="R207" s="18"/>
      <c r="S207" s="18"/>
      <c r="T207" s="18"/>
      <c r="U207" s="18"/>
      <c r="V207" s="18"/>
      <c r="W207" s="18"/>
      <c r="X207" s="18"/>
      <c r="Y207" s="18"/>
    </row>
    <row r="208" spans="1:25" ht="32.25" customHeight="1">
      <c r="A208" s="172" t="s">
        <v>98</v>
      </c>
      <c r="B208" s="23" t="s">
        <v>90</v>
      </c>
      <c r="C208" s="24" t="s">
        <v>198</v>
      </c>
      <c r="D208" s="25" t="s">
        <v>100</v>
      </c>
      <c r="E208" s="93"/>
      <c r="K208" s="183"/>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c r="E209" s="79" t="str">
        <f t="shared" ref="E209:E243" si="10">IF(D209&lt;&gt;"",IF(AND(B209&lt;&gt;"",C209&lt;&gt;""),"","ERR"),"")</f>
        <v/>
      </c>
      <c r="F209" s="86" t="s">
        <v>101</v>
      </c>
      <c r="G209" s="87" t="s">
        <v>102</v>
      </c>
      <c r="H209" s="88" t="s">
        <v>103</v>
      </c>
      <c r="I209" s="89" t="s">
        <v>93</v>
      </c>
      <c r="J209" s="90" t="s">
        <v>91</v>
      </c>
      <c r="K209" s="178" t="s">
        <v>97</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79">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3"/>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3"/>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3"/>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3"/>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3"/>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3"/>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3"/>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3"/>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3"/>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3"/>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3"/>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3"/>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3"/>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3"/>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3"/>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3"/>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3"/>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3"/>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3"/>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3"/>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3"/>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3"/>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3"/>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3"/>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3"/>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3"/>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3"/>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3"/>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3"/>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3"/>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3"/>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3"/>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3"/>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3"/>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3"/>
      <c r="L245" s="18"/>
      <c r="M245" s="18"/>
      <c r="N245" s="18"/>
      <c r="O245" s="18"/>
      <c r="P245" s="18"/>
      <c r="Q245" s="18"/>
      <c r="R245" s="18"/>
      <c r="S245" s="18"/>
      <c r="T245" s="18"/>
      <c r="U245" s="18"/>
      <c r="V245" s="18"/>
      <c r="W245" s="18"/>
      <c r="X245" s="18"/>
      <c r="Y245" s="18"/>
    </row>
    <row r="246" spans="1:25" ht="32.25" customHeight="1">
      <c r="A246" s="172" t="s">
        <v>98</v>
      </c>
      <c r="B246" s="23" t="s">
        <v>90</v>
      </c>
      <c r="C246" s="24" t="s">
        <v>199</v>
      </c>
      <c r="D246" s="25" t="s">
        <v>100</v>
      </c>
      <c r="E246" s="93"/>
      <c r="K246" s="183"/>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c r="E247" s="79" t="str">
        <f t="shared" ref="E247:E281" si="12">IF(D247&lt;&gt;"",IF(AND(B247&lt;&gt;"",C247&lt;&gt;""),"","ERR"),"")</f>
        <v/>
      </c>
      <c r="F247" s="86" t="s">
        <v>101</v>
      </c>
      <c r="G247" s="87" t="s">
        <v>102</v>
      </c>
      <c r="H247" s="88" t="s">
        <v>103</v>
      </c>
      <c r="I247" s="89" t="s">
        <v>93</v>
      </c>
      <c r="J247" s="90" t="s">
        <v>91</v>
      </c>
      <c r="K247" s="178" t="s">
        <v>97</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79">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3"/>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3"/>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3"/>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3"/>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3"/>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3"/>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3"/>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3"/>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3"/>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3"/>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3"/>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3"/>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3"/>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3"/>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3"/>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3"/>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3"/>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3"/>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3"/>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3"/>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3"/>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3"/>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3"/>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3"/>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3"/>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3"/>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3"/>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3"/>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3"/>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3"/>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3"/>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3"/>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3"/>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3"/>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3"/>
      <c r="L283" s="18"/>
      <c r="M283" s="18"/>
      <c r="N283" s="18"/>
      <c r="O283" s="18"/>
      <c r="P283" s="18"/>
      <c r="Q283" s="18"/>
      <c r="R283" s="18"/>
      <c r="S283" s="18"/>
      <c r="T283" s="18"/>
      <c r="U283" s="18"/>
      <c r="V283" s="18"/>
      <c r="W283" s="18"/>
      <c r="X283" s="18"/>
      <c r="Y283" s="18"/>
    </row>
    <row r="284" spans="1:25" ht="32.25" customHeight="1">
      <c r="A284" s="172" t="s">
        <v>98</v>
      </c>
      <c r="B284" s="23" t="s">
        <v>90</v>
      </c>
      <c r="C284" s="24" t="s">
        <v>200</v>
      </c>
      <c r="D284" s="25" t="s">
        <v>100</v>
      </c>
      <c r="E284" s="93"/>
      <c r="K284" s="183"/>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c r="E285" s="79" t="str">
        <f t="shared" ref="E285:E319" si="14">IF(D285&lt;&gt;"",IF(AND(B285&lt;&gt;"",C285&lt;&gt;""),"","ERR"),"")</f>
        <v/>
      </c>
      <c r="F285" s="86" t="s">
        <v>101</v>
      </c>
      <c r="G285" s="87" t="s">
        <v>102</v>
      </c>
      <c r="H285" s="88" t="s">
        <v>103</v>
      </c>
      <c r="I285" s="89" t="s">
        <v>93</v>
      </c>
      <c r="J285" s="90" t="s">
        <v>91</v>
      </c>
      <c r="K285" s="178" t="s">
        <v>97</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79">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3"/>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3"/>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3"/>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3"/>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3"/>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3"/>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3"/>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3"/>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3"/>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3"/>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3"/>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3"/>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3"/>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3"/>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3"/>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3"/>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3"/>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3"/>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3"/>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3"/>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3"/>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3"/>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3"/>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3"/>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3"/>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3"/>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3"/>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3"/>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3"/>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3"/>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3"/>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3"/>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3"/>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3"/>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3"/>
      <c r="L321" s="18"/>
      <c r="M321" s="18"/>
      <c r="N321" s="18"/>
      <c r="O321" s="18"/>
      <c r="P321" s="18"/>
      <c r="Q321" s="18"/>
      <c r="R321" s="18"/>
      <c r="S321" s="18"/>
      <c r="T321" s="18"/>
      <c r="U321" s="18"/>
      <c r="V321" s="18"/>
      <c r="W321" s="18"/>
      <c r="X321" s="18"/>
      <c r="Y321" s="18"/>
    </row>
    <row r="322" spans="1:25" ht="32.25" customHeight="1">
      <c r="A322" s="172" t="s">
        <v>98</v>
      </c>
      <c r="B322" s="23" t="s">
        <v>90</v>
      </c>
      <c r="C322" s="24" t="s">
        <v>201</v>
      </c>
      <c r="D322" s="25" t="s">
        <v>100</v>
      </c>
      <c r="E322" s="93"/>
      <c r="K322" s="183"/>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c r="E323" s="79" t="str">
        <f t="shared" ref="E323:E357" si="16">IF(D323&lt;&gt;"",IF(AND(B323&lt;&gt;"",C323&lt;&gt;""),"","ERR"),"")</f>
        <v/>
      </c>
      <c r="F323" s="86" t="s">
        <v>101</v>
      </c>
      <c r="G323" s="87" t="s">
        <v>102</v>
      </c>
      <c r="H323" s="88" t="s">
        <v>103</v>
      </c>
      <c r="I323" s="89" t="s">
        <v>93</v>
      </c>
      <c r="J323" s="90" t="s">
        <v>91</v>
      </c>
      <c r="K323" s="178" t="s">
        <v>97</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79">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3"/>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3"/>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3"/>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3"/>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3"/>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3"/>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3"/>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3"/>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3"/>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3"/>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3"/>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3"/>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3"/>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3"/>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3"/>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3"/>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3"/>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3"/>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3"/>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3"/>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3"/>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3"/>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3"/>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3"/>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3"/>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3"/>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3"/>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3"/>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3"/>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3"/>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3"/>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3"/>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3"/>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3"/>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3"/>
      <c r="L359" s="18"/>
      <c r="M359" s="18"/>
      <c r="N359" s="18"/>
      <c r="O359" s="18"/>
      <c r="P359" s="18"/>
      <c r="Q359" s="18"/>
      <c r="R359" s="18"/>
      <c r="S359" s="18"/>
      <c r="T359" s="18"/>
      <c r="U359" s="18"/>
      <c r="V359" s="18"/>
      <c r="W359" s="18"/>
      <c r="X359" s="18"/>
      <c r="Y359" s="18"/>
    </row>
    <row r="360" spans="1:25" ht="32.25" customHeight="1">
      <c r="A360" s="172" t="s">
        <v>98</v>
      </c>
      <c r="B360" s="23" t="s">
        <v>90</v>
      </c>
      <c r="C360" s="24" t="s">
        <v>202</v>
      </c>
      <c r="D360" s="25" t="s">
        <v>100</v>
      </c>
      <c r="E360" s="93"/>
      <c r="K360" s="183"/>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c r="E361" s="79" t="str">
        <f t="shared" ref="E361:E395" si="18">IF(D361&lt;&gt;"",IF(AND(B361&lt;&gt;"",C361&lt;&gt;""),"","ERR"),"")</f>
        <v/>
      </c>
      <c r="F361" s="86" t="s">
        <v>101</v>
      </c>
      <c r="G361" s="87" t="s">
        <v>102</v>
      </c>
      <c r="H361" s="88" t="s">
        <v>103</v>
      </c>
      <c r="I361" s="89" t="s">
        <v>93</v>
      </c>
      <c r="J361" s="90" t="s">
        <v>91</v>
      </c>
      <c r="K361" s="178" t="s">
        <v>97</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79">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3"/>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3"/>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3"/>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3"/>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3"/>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3"/>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3"/>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3"/>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3"/>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3"/>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3"/>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3"/>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3"/>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3"/>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3"/>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3"/>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3"/>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3"/>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3"/>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3"/>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3"/>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3"/>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3"/>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3"/>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3"/>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3"/>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3"/>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3"/>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3"/>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3"/>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3"/>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3"/>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3"/>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3"/>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3"/>
      <c r="L397" s="18"/>
      <c r="M397" s="18"/>
      <c r="N397" s="18"/>
      <c r="O397" s="18"/>
      <c r="P397" s="18"/>
      <c r="Q397" s="18"/>
      <c r="R397" s="18"/>
      <c r="S397" s="18"/>
      <c r="T397" s="18"/>
      <c r="U397" s="18"/>
      <c r="V397" s="18"/>
      <c r="W397" s="18"/>
      <c r="X397" s="18"/>
      <c r="Y397" s="18"/>
    </row>
    <row r="398" spans="1:25" ht="32.25" customHeight="1">
      <c r="A398" s="172" t="s">
        <v>98</v>
      </c>
      <c r="B398" s="23" t="s">
        <v>90</v>
      </c>
      <c r="C398" s="24" t="s">
        <v>203</v>
      </c>
      <c r="D398" s="25" t="s">
        <v>100</v>
      </c>
      <c r="E398" s="93"/>
      <c r="K398" s="183"/>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c r="E399" s="79" t="str">
        <f t="shared" ref="E399:E433" si="20">IF(D399&lt;&gt;"",IF(AND(B399&lt;&gt;"",C399&lt;&gt;""),"","ERR"),"")</f>
        <v/>
      </c>
      <c r="F399" s="86" t="s">
        <v>101</v>
      </c>
      <c r="G399" s="87" t="s">
        <v>102</v>
      </c>
      <c r="H399" s="88" t="s">
        <v>103</v>
      </c>
      <c r="I399" s="89" t="s">
        <v>93</v>
      </c>
      <c r="J399" s="90" t="s">
        <v>91</v>
      </c>
      <c r="K399" s="178" t="s">
        <v>97</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79">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3"/>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3"/>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3"/>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3"/>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3"/>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3"/>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3"/>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3"/>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3"/>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3"/>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3"/>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3"/>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3"/>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3"/>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3"/>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3"/>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3"/>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3"/>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3"/>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3"/>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3"/>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3"/>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3"/>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3"/>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3"/>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3"/>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3"/>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3"/>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3"/>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3"/>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3"/>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3"/>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3"/>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3"/>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3"/>
      <c r="L435" s="18"/>
      <c r="M435" s="18"/>
      <c r="N435" s="18"/>
      <c r="O435" s="18"/>
      <c r="P435" s="18"/>
      <c r="Q435" s="18"/>
      <c r="R435" s="18"/>
      <c r="S435" s="18"/>
      <c r="T435" s="18"/>
      <c r="U435" s="18"/>
      <c r="V435" s="18"/>
      <c r="W435" s="18"/>
      <c r="X435" s="18"/>
      <c r="Y435" s="18"/>
    </row>
    <row r="436" spans="1:25" ht="32.25" customHeight="1">
      <c r="A436" s="172" t="s">
        <v>98</v>
      </c>
      <c r="B436" s="23" t="s">
        <v>90</v>
      </c>
      <c r="C436" s="24" t="s">
        <v>204</v>
      </c>
      <c r="D436" s="25" t="s">
        <v>100</v>
      </c>
      <c r="E436" s="93"/>
      <c r="K436" s="183"/>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c r="E437" s="79" t="str">
        <f t="shared" ref="E437:E471" si="22">IF(D437&lt;&gt;"",IF(AND(B437&lt;&gt;"",C437&lt;&gt;""),"","ERR"),"")</f>
        <v/>
      </c>
      <c r="F437" s="86" t="s">
        <v>101</v>
      </c>
      <c r="G437" s="87" t="s">
        <v>102</v>
      </c>
      <c r="H437" s="88" t="s">
        <v>103</v>
      </c>
      <c r="I437" s="89" t="s">
        <v>93</v>
      </c>
      <c r="J437" s="90" t="s">
        <v>91</v>
      </c>
      <c r="K437" s="178" t="s">
        <v>97</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79">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3"/>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3"/>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3"/>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3"/>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3"/>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3"/>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3"/>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3"/>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3"/>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3"/>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3"/>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3"/>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3"/>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3"/>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3"/>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3"/>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3"/>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3"/>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3"/>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3"/>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3"/>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3"/>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3"/>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3"/>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3"/>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3"/>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3"/>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3"/>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3"/>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3"/>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3"/>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3"/>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3"/>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3"/>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3"/>
      <c r="L473" s="18"/>
      <c r="M473" s="18"/>
      <c r="N473" s="18"/>
      <c r="O473" s="18"/>
      <c r="P473" s="18"/>
      <c r="Q473" s="18"/>
      <c r="R473" s="18"/>
      <c r="S473" s="18"/>
      <c r="T473" s="18"/>
      <c r="U473" s="18"/>
      <c r="V473" s="18"/>
      <c r="W473" s="18"/>
      <c r="X473" s="18"/>
      <c r="Y473" s="18"/>
    </row>
    <row r="474" spans="1:25" ht="32.25" customHeight="1">
      <c r="A474" s="172" t="s">
        <v>98</v>
      </c>
      <c r="B474" s="23" t="s">
        <v>90</v>
      </c>
      <c r="C474" s="24" t="s">
        <v>205</v>
      </c>
      <c r="D474" s="25" t="s">
        <v>100</v>
      </c>
      <c r="E474" s="93"/>
      <c r="K474" s="183"/>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c r="E475" s="79" t="str">
        <f t="shared" ref="E475:E509" si="24">IF(D475&lt;&gt;"",IF(AND(B475&lt;&gt;"",C475&lt;&gt;""),"","ERR"),"")</f>
        <v/>
      </c>
      <c r="F475" s="86" t="s">
        <v>101</v>
      </c>
      <c r="G475" s="87" t="s">
        <v>102</v>
      </c>
      <c r="H475" s="88" t="s">
        <v>103</v>
      </c>
      <c r="I475" s="89" t="s">
        <v>93</v>
      </c>
      <c r="J475" s="90" t="s">
        <v>91</v>
      </c>
      <c r="K475" s="178" t="s">
        <v>97</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79">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3"/>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3"/>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3"/>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3"/>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3"/>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3"/>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3"/>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3"/>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3"/>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3"/>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3"/>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3"/>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3"/>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3"/>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3"/>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3"/>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3"/>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3"/>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3"/>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3"/>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3"/>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3"/>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3"/>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3"/>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3"/>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3"/>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3"/>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3"/>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3"/>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3"/>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3"/>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3"/>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3"/>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3"/>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3"/>
      <c r="L511" s="18"/>
      <c r="M511" s="18"/>
      <c r="N511" s="18"/>
      <c r="O511" s="18"/>
      <c r="P511" s="18"/>
      <c r="Q511" s="18"/>
      <c r="R511" s="18"/>
      <c r="S511" s="18"/>
      <c r="T511" s="18"/>
      <c r="U511" s="18"/>
      <c r="V511" s="18"/>
      <c r="W511" s="18"/>
      <c r="X511" s="18"/>
      <c r="Y511" s="18"/>
    </row>
    <row r="512" spans="1:25" ht="32.25" customHeight="1">
      <c r="A512" s="172" t="s">
        <v>98</v>
      </c>
      <c r="B512" s="23" t="s">
        <v>90</v>
      </c>
      <c r="C512" s="24" t="s">
        <v>206</v>
      </c>
      <c r="D512" s="25" t="s">
        <v>100</v>
      </c>
      <c r="E512" s="93"/>
      <c r="K512" s="183"/>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c r="E513" s="79" t="str">
        <f t="shared" ref="E513:E547" si="26">IF(D513&lt;&gt;"",IF(AND(B513&lt;&gt;"",C513&lt;&gt;""),"","ERR"),"")</f>
        <v/>
      </c>
      <c r="F513" s="86" t="s">
        <v>101</v>
      </c>
      <c r="G513" s="87" t="s">
        <v>102</v>
      </c>
      <c r="H513" s="88" t="s">
        <v>103</v>
      </c>
      <c r="I513" s="89" t="s">
        <v>93</v>
      </c>
      <c r="J513" s="90" t="s">
        <v>91</v>
      </c>
      <c r="K513" s="178" t="s">
        <v>97</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79">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3"/>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3"/>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3"/>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3"/>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3"/>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3"/>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3"/>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3"/>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3"/>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3"/>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3"/>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3"/>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3"/>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3"/>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3"/>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3"/>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3"/>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3"/>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3"/>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3"/>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3"/>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3"/>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3"/>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3"/>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3"/>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3"/>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3"/>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3"/>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3"/>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3"/>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3"/>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3"/>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3"/>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3"/>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3"/>
      <c r="L549" s="18"/>
      <c r="M549" s="18"/>
      <c r="N549" s="18"/>
      <c r="O549" s="18"/>
      <c r="P549" s="18"/>
      <c r="Q549" s="18"/>
      <c r="R549" s="18"/>
      <c r="S549" s="18"/>
      <c r="T549" s="18"/>
      <c r="U549" s="18"/>
      <c r="V549" s="18"/>
      <c r="W549" s="18"/>
      <c r="X549" s="18"/>
      <c r="Y549" s="18"/>
    </row>
    <row r="550" spans="1:25" ht="32.25" customHeight="1">
      <c r="A550" s="172" t="s">
        <v>98</v>
      </c>
      <c r="B550" s="23" t="s">
        <v>90</v>
      </c>
      <c r="C550" s="24" t="s">
        <v>207</v>
      </c>
      <c r="D550" s="25" t="s">
        <v>100</v>
      </c>
      <c r="E550" s="93"/>
      <c r="K550" s="183"/>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c r="E551" s="79" t="str">
        <f t="shared" ref="E551:E585" si="28">IF(D551&lt;&gt;"",IF(AND(B551&lt;&gt;"",C551&lt;&gt;""),"","ERR"),"")</f>
        <v/>
      </c>
      <c r="F551" s="86" t="s">
        <v>101</v>
      </c>
      <c r="G551" s="87" t="s">
        <v>102</v>
      </c>
      <c r="H551" s="88" t="s">
        <v>103</v>
      </c>
      <c r="I551" s="89" t="s">
        <v>93</v>
      </c>
      <c r="J551" s="90" t="s">
        <v>91</v>
      </c>
      <c r="K551" s="178" t="s">
        <v>97</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79">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3"/>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3"/>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3"/>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3"/>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3"/>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3"/>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3"/>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3"/>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3"/>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3"/>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3"/>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3"/>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3"/>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3"/>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3"/>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3"/>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3"/>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3"/>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3"/>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3"/>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3"/>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3"/>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3"/>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3"/>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3"/>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3"/>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3"/>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3"/>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3"/>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3"/>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3"/>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3"/>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3"/>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3"/>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3"/>
      <c r="L587" s="18"/>
      <c r="M587" s="18"/>
      <c r="N587" s="18"/>
      <c r="O587" s="18"/>
      <c r="P587" s="18"/>
      <c r="Q587" s="18"/>
      <c r="R587" s="18"/>
      <c r="S587" s="18"/>
      <c r="T587" s="18"/>
      <c r="U587" s="18"/>
      <c r="V587" s="18"/>
      <c r="W587" s="18"/>
      <c r="X587" s="18"/>
      <c r="Y587" s="18"/>
    </row>
    <row r="588" spans="1:25" ht="32.25" customHeight="1">
      <c r="A588" s="172" t="s">
        <v>98</v>
      </c>
      <c r="B588" s="23" t="s">
        <v>90</v>
      </c>
      <c r="C588" s="24" t="s">
        <v>208</v>
      </c>
      <c r="D588" s="25" t="s">
        <v>100</v>
      </c>
      <c r="E588" s="93"/>
      <c r="K588" s="183"/>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c r="E589" s="79" t="str">
        <f t="shared" ref="E589:E623" si="30">IF(D589&lt;&gt;"",IF(AND(B589&lt;&gt;"",C589&lt;&gt;""),"","ERR"),"")</f>
        <v/>
      </c>
      <c r="F589" s="86" t="s">
        <v>101</v>
      </c>
      <c r="G589" s="87" t="s">
        <v>102</v>
      </c>
      <c r="H589" s="88" t="s">
        <v>103</v>
      </c>
      <c r="I589" s="89" t="s">
        <v>93</v>
      </c>
      <c r="J589" s="90" t="s">
        <v>91</v>
      </c>
      <c r="K589" s="178" t="s">
        <v>97</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79">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3"/>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3"/>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3"/>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3"/>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3"/>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3"/>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3"/>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3"/>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3"/>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3"/>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3"/>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3"/>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3"/>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3"/>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3"/>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3"/>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3"/>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3"/>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3"/>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3"/>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3"/>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3"/>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3"/>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3"/>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3"/>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3"/>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3"/>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3"/>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3"/>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3"/>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3"/>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3"/>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3"/>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3"/>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3"/>
      <c r="L625" s="18"/>
      <c r="M625" s="18"/>
      <c r="N625" s="18"/>
      <c r="O625" s="18"/>
      <c r="P625" s="18"/>
      <c r="Q625" s="18"/>
      <c r="R625" s="18"/>
      <c r="S625" s="18"/>
      <c r="T625" s="18"/>
      <c r="U625" s="18"/>
      <c r="V625" s="18"/>
      <c r="W625" s="18"/>
      <c r="X625" s="18"/>
      <c r="Y625" s="18"/>
    </row>
    <row r="626" spans="1:25" ht="32.75" customHeight="1">
      <c r="A626" s="172" t="s">
        <v>98</v>
      </c>
      <c r="B626" s="23" t="s">
        <v>90</v>
      </c>
      <c r="C626" s="24" t="s">
        <v>209</v>
      </c>
      <c r="D626" s="25" t="s">
        <v>100</v>
      </c>
      <c r="E626" s="93"/>
      <c r="K626" s="183"/>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c r="E627" s="79" t="str">
        <f t="shared" ref="E627:E661" si="32">IF(D627&lt;&gt;"",IF(AND(B627&lt;&gt;"",C627&lt;&gt;""),"","ERR"),"")</f>
        <v/>
      </c>
      <c r="F627" s="86" t="s">
        <v>101</v>
      </c>
      <c r="G627" s="87" t="s">
        <v>102</v>
      </c>
      <c r="H627" s="88" t="s">
        <v>103</v>
      </c>
      <c r="I627" s="89" t="s">
        <v>93</v>
      </c>
      <c r="J627" s="90" t="s">
        <v>91</v>
      </c>
      <c r="K627" s="178" t="s">
        <v>97</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79">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3"/>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3"/>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3"/>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3"/>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3"/>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3"/>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3"/>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3"/>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3"/>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3"/>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3"/>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3"/>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3"/>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3"/>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3"/>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3"/>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3"/>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3"/>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3"/>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3"/>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3"/>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3"/>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3"/>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3"/>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3"/>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3"/>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3"/>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3"/>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3"/>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3"/>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3"/>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3"/>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3"/>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3"/>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3"/>
      <c r="L663" s="18"/>
      <c r="M663" s="18"/>
      <c r="N663" s="18"/>
      <c r="O663" s="18"/>
      <c r="P663" s="18"/>
      <c r="Q663" s="18"/>
      <c r="R663" s="18"/>
      <c r="S663" s="18"/>
      <c r="T663" s="18"/>
      <c r="U663" s="18"/>
      <c r="V663" s="18"/>
      <c r="W663" s="18"/>
      <c r="X663" s="18"/>
      <c r="Y663" s="18"/>
    </row>
    <row r="664" spans="1:25" ht="32.75" customHeight="1">
      <c r="A664" s="172" t="s">
        <v>98</v>
      </c>
      <c r="B664" s="23" t="s">
        <v>90</v>
      </c>
      <c r="C664" s="24" t="s">
        <v>210</v>
      </c>
      <c r="D664" s="25" t="s">
        <v>100</v>
      </c>
      <c r="E664" s="93"/>
      <c r="K664" s="183"/>
      <c r="L664" s="18"/>
      <c r="M664" s="18"/>
      <c r="N664" s="18"/>
      <c r="O664" s="18"/>
      <c r="P664" s="18"/>
      <c r="Q664" s="18"/>
      <c r="R664" s="18"/>
      <c r="S664" s="18"/>
      <c r="T664" s="18"/>
      <c r="U664" s="18"/>
      <c r="V664" s="18"/>
      <c r="W664" s="18"/>
      <c r="X664" s="18"/>
      <c r="Y664" s="18"/>
    </row>
    <row r="665" spans="1:25" ht="14.15"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c r="E665" s="79" t="str">
        <f t="shared" ref="E665:E699" si="34">IF(D665&lt;&gt;"",IF(AND(B665&lt;&gt;"",C665&lt;&gt;""),"","ERR"),"")</f>
        <v/>
      </c>
      <c r="F665" s="86" t="s">
        <v>101</v>
      </c>
      <c r="G665" s="87" t="s">
        <v>102</v>
      </c>
      <c r="H665" s="88" t="s">
        <v>103</v>
      </c>
      <c r="I665" s="89" t="s">
        <v>93</v>
      </c>
      <c r="J665" s="90" t="s">
        <v>91</v>
      </c>
      <c r="K665" s="178" t="s">
        <v>97</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79">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3"/>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3"/>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3"/>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3"/>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3"/>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3"/>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3"/>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3"/>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3"/>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3"/>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3"/>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3"/>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3"/>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3"/>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3"/>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3"/>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3"/>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3"/>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3"/>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3"/>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3"/>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3"/>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3"/>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3"/>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3"/>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3"/>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3"/>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3"/>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3"/>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3"/>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3"/>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3"/>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3"/>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3"/>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3"/>
      <c r="L701" s="18"/>
      <c r="M701" s="18"/>
      <c r="N701" s="18"/>
      <c r="O701" s="18"/>
      <c r="P701" s="18"/>
      <c r="Q701" s="18"/>
      <c r="R701" s="18"/>
      <c r="S701" s="18"/>
      <c r="T701" s="18"/>
      <c r="U701" s="18"/>
      <c r="V701" s="18"/>
      <c r="W701" s="18"/>
      <c r="X701" s="18"/>
      <c r="Y701" s="18"/>
    </row>
    <row r="702" spans="1:25" ht="30.5" customHeight="1">
      <c r="A702" s="172" t="s">
        <v>98</v>
      </c>
      <c r="B702" s="23" t="s">
        <v>90</v>
      </c>
      <c r="C702" s="24" t="s">
        <v>211</v>
      </c>
      <c r="D702" s="25" t="s">
        <v>100</v>
      </c>
      <c r="E702" s="93"/>
      <c r="J702" s="95"/>
      <c r="K702" s="183"/>
      <c r="L702" s="18"/>
      <c r="M702" s="18"/>
      <c r="N702" s="18"/>
      <c r="O702" s="18"/>
      <c r="P702" s="18"/>
      <c r="Q702" s="18"/>
      <c r="R702" s="18"/>
      <c r="S702" s="18"/>
      <c r="T702" s="18"/>
      <c r="U702" s="18"/>
      <c r="V702" s="18"/>
      <c r="W702" s="18"/>
      <c r="X702" s="18"/>
      <c r="Y702" s="18"/>
    </row>
    <row r="703" spans="1:25" ht="14.15"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c r="E703" s="79" t="str">
        <f t="shared" ref="E703:E737" si="36">IF(D703&lt;&gt;"",IF(AND(B703&lt;&gt;"",C703&lt;&gt;""),"","ERR"),"")</f>
        <v/>
      </c>
      <c r="F703" s="86" t="s">
        <v>101</v>
      </c>
      <c r="G703" s="87" t="s">
        <v>102</v>
      </c>
      <c r="H703" s="88" t="s">
        <v>103</v>
      </c>
      <c r="I703" s="89" t="s">
        <v>93</v>
      </c>
      <c r="J703" s="90" t="s">
        <v>91</v>
      </c>
      <c r="K703" s="178" t="s">
        <v>97</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79">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3"/>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3"/>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3"/>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3"/>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3"/>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3"/>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3"/>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3"/>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3"/>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3"/>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3"/>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3"/>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3"/>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3"/>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3"/>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3"/>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3"/>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3"/>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3"/>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3"/>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3"/>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3"/>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3"/>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3"/>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3"/>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3"/>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3"/>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3"/>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3"/>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3"/>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3"/>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3"/>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3"/>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3"/>
      <c r="L738" s="18"/>
      <c r="M738" s="18"/>
      <c r="N738" s="18"/>
      <c r="O738" s="18"/>
      <c r="P738" s="18"/>
      <c r="Q738" s="18"/>
      <c r="R738" s="18"/>
      <c r="S738" s="18"/>
      <c r="T738" s="18"/>
      <c r="U738" s="18"/>
      <c r="V738" s="18"/>
      <c r="W738" s="18"/>
      <c r="X738" s="18"/>
      <c r="Y738" s="18"/>
    </row>
    <row r="739" spans="1:25" ht="12" customHeight="1">
      <c r="B739" s="96"/>
      <c r="C739" s="18"/>
      <c r="D739" s="79"/>
      <c r="E739" s="83"/>
      <c r="K739" s="183"/>
      <c r="L739" s="18"/>
      <c r="M739" s="18"/>
      <c r="N739" s="18"/>
      <c r="O739" s="18"/>
      <c r="P739" s="18"/>
      <c r="Q739" s="18"/>
      <c r="R739" s="18"/>
      <c r="S739" s="18"/>
      <c r="T739" s="18"/>
      <c r="U739" s="18"/>
      <c r="V739" s="18"/>
      <c r="W739" s="18"/>
      <c r="X739" s="18"/>
      <c r="Y739" s="18"/>
    </row>
    <row r="740" spans="1:25" ht="30" customHeight="1">
      <c r="A740" s="172" t="s">
        <v>98</v>
      </c>
      <c r="B740" s="23" t="s">
        <v>90</v>
      </c>
      <c r="C740" s="24" t="s">
        <v>212</v>
      </c>
      <c r="D740" s="25" t="s">
        <v>100</v>
      </c>
      <c r="E740" s="93"/>
      <c r="K740" s="183"/>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c r="E741" s="79" t="str">
        <f t="shared" ref="E741:E775" si="38">IF(D741&lt;&gt;"",IF(AND(B741&lt;&gt;"",C741&lt;&gt;""),"","ERR"),"")</f>
        <v/>
      </c>
      <c r="F741" s="86" t="s">
        <v>101</v>
      </c>
      <c r="G741" s="87" t="s">
        <v>102</v>
      </c>
      <c r="H741" s="88" t="s">
        <v>103</v>
      </c>
      <c r="I741" s="89" t="s">
        <v>93</v>
      </c>
      <c r="J741" s="90" t="s">
        <v>91</v>
      </c>
      <c r="K741" s="178" t="s">
        <v>97</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79">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3"/>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3"/>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3"/>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3"/>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3"/>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3"/>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3"/>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3"/>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3"/>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3"/>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3"/>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3"/>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3"/>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3"/>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3"/>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3"/>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3"/>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3"/>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3"/>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3"/>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3"/>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3"/>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3"/>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3"/>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3"/>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3"/>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3"/>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3"/>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3"/>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3"/>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3"/>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3"/>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3"/>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3"/>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3"/>
      <c r="L777" s="18"/>
      <c r="M777" s="18"/>
      <c r="N777" s="18"/>
      <c r="O777" s="18"/>
      <c r="P777" s="18"/>
      <c r="Q777" s="18"/>
      <c r="R777" s="18"/>
      <c r="S777" s="18"/>
      <c r="T777" s="18"/>
      <c r="U777" s="18"/>
      <c r="V777" s="18"/>
      <c r="W777" s="18"/>
      <c r="X777" s="18"/>
      <c r="Y777" s="18"/>
    </row>
    <row r="778" spans="1:25" ht="30" customHeight="1">
      <c r="A778" s="172" t="s">
        <v>98</v>
      </c>
      <c r="B778" s="23" t="s">
        <v>90</v>
      </c>
      <c r="C778" s="24" t="s">
        <v>213</v>
      </c>
      <c r="D778" s="25" t="s">
        <v>100</v>
      </c>
      <c r="E778" s="93"/>
      <c r="K778" s="183"/>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c r="E779" s="79" t="str">
        <f t="shared" ref="E779:E813" si="40">IF(D779&lt;&gt;"",IF(AND(B779&lt;&gt;"",C779&lt;&gt;""),"","ERR"),"")</f>
        <v/>
      </c>
      <c r="F779" s="86" t="s">
        <v>101</v>
      </c>
      <c r="G779" s="87" t="s">
        <v>102</v>
      </c>
      <c r="H779" s="88" t="s">
        <v>103</v>
      </c>
      <c r="I779" s="89" t="s">
        <v>93</v>
      </c>
      <c r="J779" s="90" t="s">
        <v>91</v>
      </c>
      <c r="K779" s="178" t="s">
        <v>97</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79">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3"/>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3"/>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3"/>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3"/>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3"/>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3"/>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3"/>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3"/>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3"/>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3"/>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3"/>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3"/>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3"/>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3"/>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3"/>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3"/>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3"/>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3"/>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3"/>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3"/>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3"/>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3"/>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3"/>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3"/>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3"/>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3"/>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3"/>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3"/>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3"/>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3"/>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3"/>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3"/>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3"/>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3"/>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3"/>
      <c r="L815" s="18"/>
      <c r="M815" s="18"/>
      <c r="N815" s="18"/>
      <c r="O815" s="18"/>
      <c r="P815" s="18"/>
      <c r="Q815" s="18"/>
      <c r="R815" s="18"/>
      <c r="S815" s="18"/>
      <c r="T815" s="18"/>
      <c r="U815" s="18"/>
      <c r="V815" s="18"/>
      <c r="W815" s="18"/>
      <c r="X815" s="18"/>
      <c r="Y815" s="18"/>
    </row>
    <row r="816" spans="1:25" ht="30" customHeight="1">
      <c r="A816" s="172" t="s">
        <v>98</v>
      </c>
      <c r="B816" s="23" t="s">
        <v>90</v>
      </c>
      <c r="C816" s="24" t="s">
        <v>214</v>
      </c>
      <c r="D816" s="25" t="s">
        <v>100</v>
      </c>
      <c r="E816" s="93"/>
      <c r="K816" s="183"/>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c r="E817" s="79" t="str">
        <f t="shared" ref="E817:E851" si="42">IF(D817&lt;&gt;"",IF(AND(B817&lt;&gt;"",C817&lt;&gt;""),"","ERR"),"")</f>
        <v/>
      </c>
      <c r="F817" s="86" t="s">
        <v>101</v>
      </c>
      <c r="G817" s="87" t="s">
        <v>102</v>
      </c>
      <c r="H817" s="88" t="s">
        <v>103</v>
      </c>
      <c r="I817" s="89" t="s">
        <v>93</v>
      </c>
      <c r="J817" s="90" t="s">
        <v>91</v>
      </c>
      <c r="K817" s="178" t="s">
        <v>97</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79">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3"/>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3"/>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3"/>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3"/>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3"/>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3"/>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3"/>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3"/>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3"/>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3"/>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3"/>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3"/>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3"/>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3"/>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3"/>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3"/>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3"/>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3"/>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3"/>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3"/>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3"/>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3"/>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3"/>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3"/>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3"/>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3"/>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3"/>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3"/>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3"/>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3"/>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3"/>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3"/>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3"/>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3"/>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3"/>
      <c r="L853" s="18"/>
      <c r="M853" s="18"/>
      <c r="N853" s="18"/>
      <c r="O853" s="18"/>
      <c r="P853" s="18"/>
      <c r="Q853" s="18"/>
      <c r="R853" s="18"/>
      <c r="S853" s="18"/>
      <c r="T853" s="18"/>
      <c r="U853" s="18"/>
      <c r="V853" s="18"/>
      <c r="W853" s="18"/>
      <c r="X853" s="18"/>
      <c r="Y853" s="18"/>
    </row>
    <row r="854" spans="1:25" ht="30" customHeight="1">
      <c r="A854" s="172" t="s">
        <v>98</v>
      </c>
      <c r="B854" s="23" t="s">
        <v>90</v>
      </c>
      <c r="C854" s="24" t="s">
        <v>215</v>
      </c>
      <c r="D854" s="25" t="s">
        <v>100</v>
      </c>
      <c r="E854" s="93"/>
      <c r="K854" s="183"/>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c r="E855" s="79" t="str">
        <f t="shared" ref="E855:E889" si="44">IF(D855&lt;&gt;"",IF(AND(B855&lt;&gt;"",C855&lt;&gt;""),"","ERR"),"")</f>
        <v/>
      </c>
      <c r="F855" s="86" t="s">
        <v>101</v>
      </c>
      <c r="G855" s="87" t="s">
        <v>102</v>
      </c>
      <c r="H855" s="88" t="s">
        <v>103</v>
      </c>
      <c r="I855" s="89" t="s">
        <v>93</v>
      </c>
      <c r="J855" s="90" t="s">
        <v>91</v>
      </c>
      <c r="K855" s="178" t="s">
        <v>97</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79">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3"/>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3"/>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3"/>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3"/>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3"/>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3"/>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3"/>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3"/>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3"/>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3"/>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3"/>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3"/>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3"/>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3"/>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3"/>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3"/>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3"/>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3"/>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3"/>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3"/>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3"/>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3"/>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3"/>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3"/>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3"/>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3"/>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3"/>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3"/>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3"/>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3"/>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3"/>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3"/>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3"/>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3"/>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3"/>
      <c r="L891" s="18"/>
      <c r="M891" s="18"/>
      <c r="N891" s="18"/>
      <c r="O891" s="18"/>
      <c r="P891" s="18"/>
      <c r="Q891" s="18"/>
      <c r="R891" s="18"/>
      <c r="S891" s="18"/>
      <c r="T891" s="18"/>
      <c r="U891" s="18"/>
      <c r="V891" s="18"/>
      <c r="W891" s="18"/>
      <c r="X891" s="18"/>
      <c r="Y891" s="18"/>
    </row>
    <row r="892" spans="1:25" ht="30" customHeight="1">
      <c r="A892" s="172" t="s">
        <v>98</v>
      </c>
      <c r="B892" s="23" t="s">
        <v>90</v>
      </c>
      <c r="C892" s="24" t="s">
        <v>216</v>
      </c>
      <c r="D892" s="25" t="s">
        <v>100</v>
      </c>
      <c r="E892" s="93"/>
      <c r="K892" s="183"/>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c r="E893" s="79" t="str">
        <f t="shared" ref="E893:E927" si="46">IF(D893&lt;&gt;"",IF(AND(B893&lt;&gt;"",C893&lt;&gt;""),"","ERR"),"")</f>
        <v/>
      </c>
      <c r="F893" s="86" t="s">
        <v>101</v>
      </c>
      <c r="G893" s="87" t="s">
        <v>102</v>
      </c>
      <c r="H893" s="88" t="s">
        <v>103</v>
      </c>
      <c r="I893" s="89" t="s">
        <v>93</v>
      </c>
      <c r="J893" s="90" t="s">
        <v>91</v>
      </c>
      <c r="K893" s="178" t="s">
        <v>97</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79">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3"/>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3"/>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3"/>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3"/>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3"/>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3"/>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3"/>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3"/>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3"/>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3"/>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3"/>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3"/>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3"/>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3"/>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3"/>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3"/>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3"/>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3"/>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3"/>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3"/>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3"/>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3"/>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3"/>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3"/>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3"/>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3"/>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3"/>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3"/>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3"/>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3"/>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3"/>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3"/>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3"/>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3"/>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3"/>
      <c r="L929" s="18"/>
      <c r="M929" s="18"/>
      <c r="N929" s="18"/>
      <c r="O929" s="18"/>
      <c r="P929" s="18"/>
      <c r="Q929" s="18"/>
      <c r="R929" s="18"/>
      <c r="S929" s="18"/>
      <c r="T929" s="18"/>
      <c r="U929" s="18"/>
      <c r="V929" s="18"/>
      <c r="W929" s="18"/>
      <c r="X929" s="18"/>
      <c r="Y929" s="18"/>
    </row>
    <row r="930" spans="1:25" ht="30" customHeight="1">
      <c r="A930" s="172" t="s">
        <v>98</v>
      </c>
      <c r="B930" s="23" t="s">
        <v>90</v>
      </c>
      <c r="C930" s="24" t="s">
        <v>217</v>
      </c>
      <c r="D930" s="25" t="s">
        <v>100</v>
      </c>
      <c r="E930" s="93"/>
      <c r="K930" s="183"/>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c r="E931" s="79" t="str">
        <f t="shared" ref="E931:E965" si="48">IF(D931&lt;&gt;"",IF(AND(B931&lt;&gt;"",C931&lt;&gt;""),"","ERR"),"")</f>
        <v/>
      </c>
      <c r="F931" s="86" t="s">
        <v>101</v>
      </c>
      <c r="G931" s="87" t="s">
        <v>102</v>
      </c>
      <c r="H931" s="88" t="s">
        <v>103</v>
      </c>
      <c r="I931" s="89" t="s">
        <v>93</v>
      </c>
      <c r="J931" s="90" t="s">
        <v>91</v>
      </c>
      <c r="K931" s="178" t="s">
        <v>97</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79">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3"/>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3"/>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3"/>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3"/>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3"/>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3"/>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3"/>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3"/>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3"/>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3"/>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3"/>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3"/>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3"/>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3"/>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3"/>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3"/>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3"/>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3"/>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3"/>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3"/>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3"/>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3"/>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3"/>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3"/>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3"/>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3"/>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3"/>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3"/>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3"/>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3"/>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3"/>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3"/>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3"/>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3"/>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3"/>
      <c r="L967" s="18"/>
      <c r="M967" s="18"/>
      <c r="N967" s="18"/>
      <c r="O967" s="18"/>
      <c r="P967" s="18"/>
      <c r="Q967" s="18"/>
      <c r="R967" s="18"/>
      <c r="S967" s="18"/>
      <c r="T967" s="18"/>
      <c r="U967" s="18"/>
      <c r="V967" s="18"/>
      <c r="W967" s="18"/>
      <c r="X967" s="18"/>
      <c r="Y967" s="18"/>
    </row>
    <row r="968" spans="1:25" ht="30" customHeight="1">
      <c r="A968" s="172" t="s">
        <v>98</v>
      </c>
      <c r="B968" s="23" t="s">
        <v>90</v>
      </c>
      <c r="C968" s="24" t="s">
        <v>218</v>
      </c>
      <c r="D968" s="25" t="s">
        <v>100</v>
      </c>
      <c r="E968" s="93"/>
      <c r="K968" s="183"/>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c r="E969" s="79" t="str">
        <f t="shared" ref="E969:E1004" si="50">IF(D969&lt;&gt;"",IF(AND(B969&lt;&gt;"",C969&lt;&gt;""),"","ERR"),"")</f>
        <v/>
      </c>
      <c r="F969" s="86" t="s">
        <v>101</v>
      </c>
      <c r="G969" s="87" t="s">
        <v>102</v>
      </c>
      <c r="H969" s="88" t="s">
        <v>103</v>
      </c>
      <c r="I969" s="89" t="s">
        <v>93</v>
      </c>
      <c r="J969" s="90" t="s">
        <v>91</v>
      </c>
      <c r="K969" s="178" t="s">
        <v>97</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79">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3"/>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3"/>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3"/>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3"/>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3"/>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3"/>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3"/>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3"/>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3"/>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3"/>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3"/>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3"/>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3"/>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3"/>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3"/>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3"/>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3"/>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3"/>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3"/>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3"/>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3"/>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3"/>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3"/>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3"/>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3"/>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3"/>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3"/>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3"/>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3"/>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3"/>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3"/>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3"/>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3"/>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3"/>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3"/>
      <c r="L1005" s="18"/>
      <c r="M1005" s="18"/>
      <c r="N1005" s="18"/>
      <c r="O1005" s="18"/>
      <c r="P1005" s="18"/>
      <c r="Q1005" s="18"/>
      <c r="R1005" s="18"/>
      <c r="S1005" s="18"/>
      <c r="T1005" s="18"/>
      <c r="U1005" s="18"/>
      <c r="V1005" s="18"/>
      <c r="W1005" s="18"/>
      <c r="X1005" s="18"/>
      <c r="Y1005" s="18"/>
    </row>
    <row r="1006" spans="1:25" ht="30" customHeight="1">
      <c r="A1006" s="172" t="s">
        <v>98</v>
      </c>
      <c r="B1006" s="23" t="s">
        <v>90</v>
      </c>
      <c r="C1006" s="24" t="s">
        <v>219</v>
      </c>
      <c r="D1006" s="25" t="s">
        <v>100</v>
      </c>
      <c r="E1006" s="93"/>
      <c r="K1006" s="183"/>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c r="E1007" s="79" t="str">
        <f t="shared" ref="E1007:E1041" si="52">IF(D1007&lt;&gt;"",IF(AND(B1007&lt;&gt;"",C1007&lt;&gt;""),"","ERR"),"")</f>
        <v/>
      </c>
      <c r="F1007" s="86" t="s">
        <v>101</v>
      </c>
      <c r="G1007" s="87" t="s">
        <v>102</v>
      </c>
      <c r="H1007" s="88" t="s">
        <v>103</v>
      </c>
      <c r="I1007" s="89" t="s">
        <v>93</v>
      </c>
      <c r="J1007" s="90" t="s">
        <v>91</v>
      </c>
      <c r="K1007" s="178" t="s">
        <v>97</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79">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3"/>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3"/>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3"/>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3"/>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3"/>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3"/>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3"/>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3"/>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3"/>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3"/>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3"/>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3"/>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3"/>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3"/>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3"/>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3"/>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3"/>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3"/>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3"/>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3"/>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3"/>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3"/>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3"/>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3"/>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3"/>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3"/>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3"/>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3"/>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3"/>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3"/>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3"/>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3"/>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3"/>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3"/>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3"/>
      <c r="L1043" s="18"/>
      <c r="M1043" s="18"/>
      <c r="N1043" s="18"/>
      <c r="O1043" s="18"/>
      <c r="P1043" s="18"/>
      <c r="Q1043" s="18"/>
      <c r="R1043" s="18"/>
      <c r="S1043" s="18"/>
      <c r="T1043" s="18"/>
      <c r="U1043" s="18"/>
      <c r="V1043" s="18"/>
      <c r="W1043" s="18"/>
      <c r="X1043" s="18"/>
      <c r="Y1043" s="18"/>
    </row>
    <row r="1044" spans="1:25" ht="30" customHeight="1">
      <c r="A1044" s="172" t="s">
        <v>98</v>
      </c>
      <c r="B1044" s="23" t="s">
        <v>90</v>
      </c>
      <c r="C1044" s="24" t="s">
        <v>220</v>
      </c>
      <c r="D1044" s="25" t="s">
        <v>100</v>
      </c>
      <c r="E1044" s="93"/>
      <c r="K1044" s="183"/>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c r="E1045" s="79" t="str">
        <f t="shared" ref="E1045:E1079" si="54">IF(D1045&lt;&gt;"",IF(AND(B1045&lt;&gt;"",C1045&lt;&gt;""),"","ERR"),"")</f>
        <v/>
      </c>
      <c r="F1045" s="86" t="s">
        <v>101</v>
      </c>
      <c r="G1045" s="87" t="s">
        <v>102</v>
      </c>
      <c r="H1045" s="88" t="s">
        <v>103</v>
      </c>
      <c r="I1045" s="89" t="s">
        <v>93</v>
      </c>
      <c r="J1045" s="90" t="s">
        <v>91</v>
      </c>
      <c r="K1045" s="178" t="s">
        <v>97</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79">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3"/>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3"/>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3"/>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3"/>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3"/>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3"/>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3"/>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3"/>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3"/>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3"/>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3"/>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3"/>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3"/>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3"/>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3"/>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3"/>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3"/>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3"/>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3"/>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3"/>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3"/>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3"/>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3"/>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3"/>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3"/>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3"/>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3"/>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3"/>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3"/>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3"/>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3"/>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3"/>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3"/>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3"/>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3"/>
      <c r="L1081" s="18"/>
      <c r="M1081" s="18"/>
      <c r="N1081" s="18"/>
      <c r="O1081" s="18"/>
      <c r="P1081" s="18"/>
      <c r="Q1081" s="18"/>
      <c r="R1081" s="18"/>
      <c r="S1081" s="18"/>
      <c r="T1081" s="18"/>
      <c r="U1081" s="18"/>
      <c r="V1081" s="18"/>
      <c r="W1081" s="18"/>
      <c r="X1081" s="18"/>
      <c r="Y1081" s="18"/>
    </row>
    <row r="1082" spans="1:25" ht="30" customHeight="1">
      <c r="A1082" s="172" t="s">
        <v>98</v>
      </c>
      <c r="B1082" s="23" t="s">
        <v>90</v>
      </c>
      <c r="C1082" s="24" t="s">
        <v>221</v>
      </c>
      <c r="D1082" s="25" t="s">
        <v>100</v>
      </c>
      <c r="E1082" s="93"/>
      <c r="K1082" s="183"/>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c r="E1083" s="79" t="str">
        <f t="shared" ref="E1083:E1117" si="56">IF(D1083&lt;&gt;"",IF(AND(B1083&lt;&gt;"",C1083&lt;&gt;""),"","ERR"),"")</f>
        <v/>
      </c>
      <c r="F1083" s="86" t="s">
        <v>101</v>
      </c>
      <c r="G1083" s="87" t="s">
        <v>102</v>
      </c>
      <c r="H1083" s="88" t="s">
        <v>103</v>
      </c>
      <c r="I1083" s="89" t="s">
        <v>93</v>
      </c>
      <c r="J1083" s="90" t="s">
        <v>91</v>
      </c>
      <c r="K1083" s="178" t="s">
        <v>97</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79">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3"/>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3"/>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3"/>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3"/>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3"/>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3"/>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3"/>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3"/>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3"/>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3"/>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3"/>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3"/>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3"/>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3"/>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3"/>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3"/>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3"/>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3"/>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3"/>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3"/>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3"/>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3"/>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3"/>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3"/>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3"/>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3"/>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3"/>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3"/>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3"/>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3"/>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3"/>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3"/>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3"/>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3"/>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3"/>
      <c r="L1119" s="18"/>
      <c r="M1119" s="18"/>
      <c r="N1119" s="18"/>
      <c r="O1119" s="18"/>
      <c r="P1119" s="18"/>
      <c r="Q1119" s="18"/>
      <c r="R1119" s="18"/>
      <c r="S1119" s="18"/>
      <c r="T1119" s="18"/>
      <c r="U1119" s="18"/>
      <c r="V1119" s="18"/>
      <c r="W1119" s="18"/>
      <c r="X1119" s="18"/>
      <c r="Y1119" s="18"/>
    </row>
    <row r="1120" spans="1:25" ht="30" customHeight="1">
      <c r="A1120" s="172" t="s">
        <v>98</v>
      </c>
      <c r="B1120" s="23" t="s">
        <v>90</v>
      </c>
      <c r="C1120" s="24" t="s">
        <v>222</v>
      </c>
      <c r="D1120" s="25" t="s">
        <v>100</v>
      </c>
      <c r="E1120" s="93"/>
      <c r="K1120" s="183"/>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c r="E1121" s="79" t="str">
        <f t="shared" ref="E1121:E1155" si="58">IF(D1121&lt;&gt;"",IF(AND(B1121&lt;&gt;"",C1121&lt;&gt;""),"","ERR"),"")</f>
        <v/>
      </c>
      <c r="F1121" s="86" t="s">
        <v>101</v>
      </c>
      <c r="G1121" s="87" t="s">
        <v>102</v>
      </c>
      <c r="H1121" s="88" t="s">
        <v>103</v>
      </c>
      <c r="I1121" s="89" t="s">
        <v>93</v>
      </c>
      <c r="J1121" s="90" t="s">
        <v>91</v>
      </c>
      <c r="K1121" s="178" t="s">
        <v>97</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79">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3"/>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3"/>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3"/>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3"/>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3"/>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3"/>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3"/>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3"/>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3"/>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3"/>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3"/>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3"/>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3"/>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3"/>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3"/>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3"/>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3"/>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3"/>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3"/>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3"/>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3"/>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3"/>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3"/>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3"/>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3"/>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3"/>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3"/>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3"/>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3"/>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3"/>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3"/>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3"/>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3"/>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3"/>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3"/>
      <c r="L1157" s="18"/>
      <c r="M1157" s="18"/>
      <c r="N1157" s="18"/>
      <c r="O1157" s="18"/>
      <c r="P1157" s="18"/>
      <c r="Q1157" s="18"/>
      <c r="R1157" s="18"/>
      <c r="S1157" s="18"/>
      <c r="T1157" s="18"/>
      <c r="U1157" s="18"/>
      <c r="V1157" s="18"/>
      <c r="W1157" s="18"/>
      <c r="X1157" s="18"/>
      <c r="Y1157" s="18"/>
    </row>
    <row r="1158" spans="1:25" ht="30" customHeight="1">
      <c r="A1158" s="172" t="s">
        <v>98</v>
      </c>
      <c r="B1158" s="23" t="s">
        <v>90</v>
      </c>
      <c r="C1158" s="24" t="s">
        <v>223</v>
      </c>
      <c r="D1158" s="25" t="s">
        <v>100</v>
      </c>
      <c r="E1158" s="93"/>
      <c r="K1158" s="183"/>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c r="E1159" s="79" t="str">
        <f t="shared" ref="E1159:E1193" si="60">IF(D1159&lt;&gt;"",IF(AND(B1159&lt;&gt;"",C1159&lt;&gt;""),"","ERR"),"")</f>
        <v/>
      </c>
      <c r="F1159" s="86" t="s">
        <v>101</v>
      </c>
      <c r="G1159" s="87" t="s">
        <v>102</v>
      </c>
      <c r="H1159" s="88" t="s">
        <v>103</v>
      </c>
      <c r="I1159" s="89" t="s">
        <v>93</v>
      </c>
      <c r="J1159" s="90" t="s">
        <v>91</v>
      </c>
      <c r="K1159" s="178" t="s">
        <v>97</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79">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3"/>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3"/>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3"/>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3"/>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3"/>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3"/>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3"/>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3"/>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3"/>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3"/>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3"/>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3"/>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3"/>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3"/>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3"/>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3"/>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3"/>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3"/>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3"/>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3"/>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3"/>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3"/>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3"/>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3"/>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3"/>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3"/>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3"/>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3"/>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3"/>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3"/>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3"/>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3"/>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3"/>
      <c r="L1193" s="18"/>
    </row>
    <row r="1194" spans="1:25" ht="13.5" customHeight="1">
      <c r="B1194" s="18"/>
      <c r="C1194" s="18"/>
      <c r="D1194" s="79"/>
      <c r="E1194" s="18"/>
      <c r="F1194" s="18"/>
      <c r="G1194" s="18"/>
      <c r="H1194" s="18"/>
      <c r="I1194" s="18"/>
      <c r="J1194" s="18"/>
      <c r="K1194" s="183"/>
      <c r="L1194" s="18"/>
    </row>
    <row r="1195" spans="1:25" ht="13.5" customHeight="1">
      <c r="B1195" s="96"/>
      <c r="C1195" s="18"/>
      <c r="D1195" s="79"/>
      <c r="E1195" s="83"/>
      <c r="F1195" s="18"/>
      <c r="G1195" s="18"/>
      <c r="H1195" s="18"/>
      <c r="I1195" s="18"/>
      <c r="J1195" s="18"/>
      <c r="K1195" s="183"/>
      <c r="L1195" s="18"/>
    </row>
    <row r="1196" spans="1:25" ht="30" customHeight="1">
      <c r="A1196" s="172" t="s">
        <v>98</v>
      </c>
      <c r="B1196" s="23" t="s">
        <v>90</v>
      </c>
      <c r="C1196" s="24" t="s">
        <v>224</v>
      </c>
      <c r="D1196" s="25" t="s">
        <v>100</v>
      </c>
      <c r="E1196" s="93"/>
      <c r="K1196" s="183"/>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c r="E1197" s="79" t="str">
        <f t="shared" ref="E1197:E1231" si="62">IF(D1197&lt;&gt;"",IF(AND(B1197&lt;&gt;"",C1197&lt;&gt;""),"","ERR"),"")</f>
        <v/>
      </c>
      <c r="F1197" s="86" t="s">
        <v>101</v>
      </c>
      <c r="G1197" s="87" t="s">
        <v>102</v>
      </c>
      <c r="H1197" s="88" t="s">
        <v>103</v>
      </c>
      <c r="I1197" s="89" t="s">
        <v>93</v>
      </c>
      <c r="J1197" s="90" t="s">
        <v>91</v>
      </c>
      <c r="K1197" s="178" t="s">
        <v>97</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79">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3"/>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3"/>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3"/>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3"/>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3"/>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3"/>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3"/>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3"/>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3"/>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3"/>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3"/>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3"/>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3"/>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3"/>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3"/>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3"/>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3"/>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3"/>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3"/>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3"/>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3"/>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3"/>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3"/>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3"/>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3"/>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3"/>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3"/>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3"/>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3"/>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3"/>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3"/>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3"/>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3"/>
      <c r="L1231" s="18"/>
    </row>
    <row r="1232" spans="1:12" ht="13.5" customHeight="1">
      <c r="B1232" s="18"/>
      <c r="C1232" s="18"/>
      <c r="D1232" s="79"/>
      <c r="E1232" s="18"/>
      <c r="F1232" s="18"/>
      <c r="G1232" s="18"/>
      <c r="H1232" s="18"/>
      <c r="I1232" s="18"/>
      <c r="J1232" s="18"/>
      <c r="K1232" s="183"/>
      <c r="L1232" s="18"/>
    </row>
    <row r="1233" spans="1:12" ht="13.5" customHeight="1">
      <c r="B1233" s="96"/>
      <c r="C1233" s="18"/>
      <c r="D1233" s="79"/>
      <c r="E1233" s="18"/>
      <c r="F1233" s="18"/>
      <c r="G1233" s="18"/>
      <c r="H1233" s="18"/>
      <c r="I1233" s="18"/>
      <c r="J1233" s="18"/>
      <c r="K1233" s="183"/>
      <c r="L1233" s="18"/>
    </row>
    <row r="1234" spans="1:12" ht="30" customHeight="1">
      <c r="A1234" s="172" t="s">
        <v>98</v>
      </c>
      <c r="B1234" s="23" t="s">
        <v>90</v>
      </c>
      <c r="C1234" s="24" t="s">
        <v>225</v>
      </c>
      <c r="D1234" s="25" t="s">
        <v>100</v>
      </c>
      <c r="E1234" s="93"/>
      <c r="K1234" s="183"/>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c r="E1235" s="79" t="str">
        <f t="shared" ref="E1235:E1269" si="64">IF(D1235&lt;&gt;"",IF(AND(B1235&lt;&gt;"",C1235&lt;&gt;""),"","ERR"),"")</f>
        <v/>
      </c>
      <c r="F1235" s="86" t="s">
        <v>101</v>
      </c>
      <c r="G1235" s="87" t="s">
        <v>102</v>
      </c>
      <c r="H1235" s="88" t="s">
        <v>103</v>
      </c>
      <c r="I1235" s="89" t="s">
        <v>93</v>
      </c>
      <c r="J1235" s="90" t="s">
        <v>91</v>
      </c>
      <c r="K1235" s="178" t="s">
        <v>97</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79">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3"/>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3"/>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3"/>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3"/>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3"/>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3"/>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3"/>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3"/>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3"/>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3"/>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3"/>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3"/>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3"/>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3"/>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3"/>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3"/>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3"/>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3"/>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3"/>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3"/>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3"/>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3"/>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3"/>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3"/>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3"/>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3"/>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3"/>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3"/>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3"/>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3"/>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3"/>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3"/>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3"/>
      <c r="L1269" s="18"/>
    </row>
    <row r="1270" spans="1:12" ht="13.5" customHeight="1">
      <c r="B1270" s="18"/>
      <c r="C1270" s="18"/>
      <c r="D1270" s="79"/>
      <c r="E1270" s="18"/>
      <c r="F1270" s="18"/>
      <c r="G1270" s="18"/>
      <c r="H1270" s="18"/>
      <c r="I1270" s="18"/>
      <c r="J1270" s="18"/>
      <c r="K1270" s="183"/>
      <c r="L1270" s="18"/>
    </row>
    <row r="1271" spans="1:12" ht="13.5" customHeight="1">
      <c r="B1271" s="96"/>
      <c r="C1271" s="18"/>
      <c r="D1271" s="79"/>
      <c r="E1271" s="83"/>
      <c r="F1271" s="18"/>
      <c r="G1271" s="18"/>
      <c r="H1271" s="18"/>
      <c r="I1271" s="18"/>
      <c r="J1271" s="18"/>
      <c r="K1271" s="183"/>
      <c r="L1271" s="18"/>
    </row>
    <row r="1272" spans="1:12" ht="30" customHeight="1">
      <c r="A1272" s="172" t="s">
        <v>98</v>
      </c>
      <c r="B1272" s="23" t="s">
        <v>90</v>
      </c>
      <c r="C1272" s="24" t="s">
        <v>226</v>
      </c>
      <c r="D1272" s="25" t="s">
        <v>100</v>
      </c>
      <c r="E1272" s="93"/>
      <c r="K1272" s="183"/>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c r="E1273" s="79" t="str">
        <f t="shared" ref="E1273:E1307" si="66">IF(D1273&lt;&gt;"",IF(AND(B1273&lt;&gt;"",C1273&lt;&gt;""),"","ERR"),"")</f>
        <v/>
      </c>
      <c r="F1273" s="86" t="s">
        <v>101</v>
      </c>
      <c r="G1273" s="87" t="s">
        <v>102</v>
      </c>
      <c r="H1273" s="88" t="s">
        <v>103</v>
      </c>
      <c r="I1273" s="89" t="s">
        <v>93</v>
      </c>
      <c r="J1273" s="90" t="s">
        <v>91</v>
      </c>
      <c r="K1273" s="178" t="s">
        <v>97</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79">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3"/>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3"/>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3"/>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3"/>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3"/>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3"/>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3"/>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3"/>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3"/>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3"/>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3"/>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3"/>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3"/>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3"/>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3"/>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3"/>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3"/>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3"/>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3"/>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3"/>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3"/>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3"/>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3"/>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3"/>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3"/>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3"/>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3"/>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3"/>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3"/>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3"/>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3"/>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3"/>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3"/>
      <c r="L1307" s="18"/>
    </row>
    <row r="1308" spans="1:12" ht="13.5" customHeight="1">
      <c r="B1308" s="96"/>
      <c r="C1308" s="18"/>
      <c r="D1308" s="79"/>
      <c r="E1308" s="18"/>
      <c r="F1308" s="18"/>
      <c r="G1308" s="18"/>
      <c r="H1308" s="18"/>
      <c r="I1308" s="18"/>
      <c r="J1308" s="18"/>
      <c r="K1308" s="183"/>
      <c r="L1308" s="18"/>
    </row>
    <row r="1309" spans="1:12" ht="13.5" customHeight="1">
      <c r="B1309" s="18"/>
      <c r="C1309" s="18"/>
      <c r="D1309" s="79"/>
      <c r="E1309" s="83"/>
      <c r="K1309" s="183"/>
      <c r="L1309" s="18"/>
    </row>
    <row r="1310" spans="1:12" ht="30" customHeight="1">
      <c r="A1310" s="172" t="s">
        <v>98</v>
      </c>
      <c r="B1310" s="23" t="s">
        <v>90</v>
      </c>
      <c r="C1310" s="24" t="s">
        <v>227</v>
      </c>
      <c r="D1310" s="25" t="s">
        <v>100</v>
      </c>
      <c r="E1310" s="93"/>
      <c r="K1310" s="183"/>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c r="E1311" s="79" t="str">
        <f t="shared" ref="E1311:E1345" si="68">IF(D1311&lt;&gt;"",IF(AND(B1311&lt;&gt;"",C1311&lt;&gt;""),"","ERR"),"")</f>
        <v/>
      </c>
      <c r="F1311" s="86" t="s">
        <v>101</v>
      </c>
      <c r="G1311" s="87" t="s">
        <v>102</v>
      </c>
      <c r="H1311" s="88" t="s">
        <v>103</v>
      </c>
      <c r="I1311" s="89" t="s">
        <v>93</v>
      </c>
      <c r="J1311" s="90" t="s">
        <v>91</v>
      </c>
      <c r="K1311" s="178" t="s">
        <v>97</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79">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3"/>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4"/>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4"/>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4"/>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4"/>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3"/>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3"/>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3"/>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3"/>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3"/>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3"/>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3"/>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3"/>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3"/>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3"/>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3"/>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3"/>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3"/>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3"/>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3"/>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3"/>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3"/>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3"/>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3"/>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3"/>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3"/>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3"/>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3"/>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3"/>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3"/>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3"/>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3"/>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3"/>
      <c r="L1345" s="18"/>
    </row>
    <row r="1346" spans="1:12" ht="13.5" customHeight="1">
      <c r="B1346" s="18"/>
      <c r="C1346" s="18"/>
      <c r="D1346" s="79"/>
      <c r="E1346" s="18"/>
      <c r="F1346" s="18"/>
      <c r="G1346" s="18"/>
      <c r="H1346" s="18"/>
      <c r="I1346" s="18"/>
      <c r="J1346" s="18"/>
      <c r="K1346" s="183"/>
      <c r="L1346" s="18"/>
    </row>
    <row r="1347" spans="1:12" ht="13.5" customHeight="1">
      <c r="B1347" s="18"/>
      <c r="C1347" s="18"/>
      <c r="D1347" s="79"/>
      <c r="E1347" s="83"/>
      <c r="F1347" s="18"/>
      <c r="G1347" s="18"/>
      <c r="H1347" s="18"/>
      <c r="I1347" s="18"/>
      <c r="J1347" s="18"/>
      <c r="K1347" s="183"/>
      <c r="L1347" s="18"/>
    </row>
    <row r="1348" spans="1:12" ht="30" customHeight="1">
      <c r="A1348" s="172" t="s">
        <v>98</v>
      </c>
      <c r="B1348" s="23" t="s">
        <v>90</v>
      </c>
      <c r="C1348" s="24" t="s">
        <v>228</v>
      </c>
      <c r="D1348" s="25" t="s">
        <v>100</v>
      </c>
      <c r="E1348" s="93"/>
      <c r="K1348" s="183"/>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c r="E1349" s="79" t="str">
        <f t="shared" ref="E1349:E1383" si="70">IF(D1349&lt;&gt;"",IF(AND(B1349&lt;&gt;"",C1349&lt;&gt;""),"","ERR"),"")</f>
        <v/>
      </c>
      <c r="F1349" s="86" t="s">
        <v>101</v>
      </c>
      <c r="G1349" s="87" t="s">
        <v>102</v>
      </c>
      <c r="H1349" s="88" t="s">
        <v>103</v>
      </c>
      <c r="I1349" s="89" t="s">
        <v>93</v>
      </c>
      <c r="J1349" s="90" t="s">
        <v>91</v>
      </c>
      <c r="K1349" s="178" t="s">
        <v>97</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79">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3"/>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3"/>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3"/>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3"/>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3"/>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3"/>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3"/>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3"/>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3"/>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3"/>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3"/>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3"/>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3"/>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3"/>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3"/>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3"/>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3"/>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3"/>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3"/>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3"/>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3"/>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3"/>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3"/>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3"/>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3"/>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3"/>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3"/>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3"/>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3"/>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3"/>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3"/>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3"/>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3"/>
      <c r="L1383" s="18"/>
    </row>
    <row r="1384" spans="1:12" ht="13.5" customHeight="1">
      <c r="B1384" s="18"/>
      <c r="C1384" s="18"/>
      <c r="D1384" s="79"/>
      <c r="E1384" s="18"/>
      <c r="F1384" s="18"/>
      <c r="G1384" s="18"/>
      <c r="H1384" s="18"/>
      <c r="I1384" s="18"/>
      <c r="J1384" s="18"/>
      <c r="K1384" s="183"/>
      <c r="L1384" s="18"/>
    </row>
    <row r="1385" spans="1:12" ht="13.5" customHeight="1">
      <c r="B1385" s="18"/>
      <c r="C1385" s="18"/>
      <c r="D1385" s="79"/>
      <c r="E1385" s="83"/>
      <c r="F1385" s="18"/>
      <c r="G1385" s="18"/>
      <c r="H1385" s="18"/>
      <c r="I1385" s="18"/>
      <c r="J1385" s="18"/>
      <c r="K1385" s="183"/>
      <c r="L1385" s="18"/>
    </row>
    <row r="1386" spans="1:12" ht="30" customHeight="1">
      <c r="A1386" s="172" t="s">
        <v>98</v>
      </c>
      <c r="B1386" s="23" t="s">
        <v>90</v>
      </c>
      <c r="C1386" s="24" t="s">
        <v>229</v>
      </c>
      <c r="D1386" s="25" t="s">
        <v>100</v>
      </c>
      <c r="E1386" s="93"/>
      <c r="K1386" s="183"/>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c r="E1387" s="79" t="str">
        <f t="shared" ref="E1387:E1421" si="72">IF(D1387&lt;&gt;"",IF(AND(B1387&lt;&gt;"",C1387&lt;&gt;""),"","ERR"),"")</f>
        <v/>
      </c>
      <c r="F1387" s="86" t="s">
        <v>101</v>
      </c>
      <c r="G1387" s="87" t="s">
        <v>102</v>
      </c>
      <c r="H1387" s="88" t="s">
        <v>103</v>
      </c>
      <c r="I1387" s="89" t="s">
        <v>93</v>
      </c>
      <c r="J1387" s="90" t="s">
        <v>91</v>
      </c>
      <c r="K1387" s="178" t="s">
        <v>97</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79">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3"/>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3"/>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3"/>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3"/>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3"/>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3"/>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3"/>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3"/>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3"/>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3"/>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3"/>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3"/>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3"/>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3"/>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3"/>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3"/>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3"/>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3"/>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3"/>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3"/>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3"/>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3"/>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3"/>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3"/>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3"/>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3"/>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3"/>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3"/>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3"/>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3"/>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3"/>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3"/>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3"/>
      <c r="L1421" s="18"/>
    </row>
    <row r="1422" spans="1:12" ht="13.5" customHeight="1">
      <c r="B1422" s="18"/>
      <c r="C1422" s="18"/>
      <c r="D1422" s="79"/>
      <c r="E1422" s="18"/>
      <c r="F1422" s="18"/>
      <c r="G1422" s="18"/>
      <c r="H1422" s="18"/>
      <c r="I1422" s="18"/>
      <c r="J1422" s="18"/>
      <c r="K1422" s="183"/>
      <c r="L1422" s="18"/>
    </row>
    <row r="1423" spans="1:12" ht="13.5" customHeight="1">
      <c r="B1423" s="18"/>
      <c r="C1423" s="18"/>
      <c r="D1423" s="79"/>
      <c r="E1423" s="83"/>
      <c r="F1423" s="18"/>
      <c r="G1423" s="18"/>
      <c r="H1423" s="18"/>
      <c r="I1423" s="18"/>
      <c r="J1423" s="18"/>
      <c r="K1423" s="183"/>
      <c r="L1423" s="18"/>
    </row>
    <row r="1424" spans="1:12" ht="30" customHeight="1">
      <c r="A1424" s="172" t="s">
        <v>98</v>
      </c>
      <c r="B1424" s="23" t="s">
        <v>90</v>
      </c>
      <c r="C1424" s="24" t="s">
        <v>230</v>
      </c>
      <c r="D1424" s="25" t="s">
        <v>100</v>
      </c>
      <c r="E1424" s="93"/>
      <c r="K1424" s="183"/>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c r="E1425" s="79" t="str">
        <f t="shared" ref="E1425:E1459" si="74">IF(D1425&lt;&gt;"",IF(AND(B1425&lt;&gt;"",C1425&lt;&gt;""),"","ERR"),"")</f>
        <v/>
      </c>
      <c r="F1425" s="86" t="s">
        <v>101</v>
      </c>
      <c r="G1425" s="87" t="s">
        <v>102</v>
      </c>
      <c r="H1425" s="88" t="s">
        <v>103</v>
      </c>
      <c r="I1425" s="89" t="s">
        <v>93</v>
      </c>
      <c r="J1425" s="90" t="s">
        <v>91</v>
      </c>
      <c r="K1425" s="178" t="s">
        <v>97</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79">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3"/>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3"/>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3"/>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3"/>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3"/>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3"/>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3"/>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3"/>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3"/>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3"/>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3"/>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3"/>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3"/>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3"/>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3"/>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3"/>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3"/>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3"/>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3"/>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3"/>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3"/>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3"/>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3"/>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3"/>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3"/>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3"/>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3"/>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3"/>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3"/>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3"/>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3"/>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3"/>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3"/>
      <c r="L1459" s="18"/>
    </row>
    <row r="1460" spans="1:12" ht="13.5" customHeight="1">
      <c r="B1460" s="18"/>
      <c r="C1460" s="18"/>
      <c r="D1460" s="18"/>
      <c r="E1460" s="18"/>
      <c r="F1460" s="18"/>
      <c r="G1460" s="18"/>
      <c r="H1460" s="18"/>
      <c r="I1460" s="18"/>
      <c r="J1460" s="18"/>
      <c r="K1460" s="183"/>
      <c r="L1460" s="18"/>
    </row>
    <row r="1461" spans="1:12" ht="13.5" customHeight="1">
      <c r="B1461" s="18"/>
      <c r="C1461" s="18"/>
      <c r="D1461" s="79"/>
      <c r="E1461" s="83"/>
      <c r="F1461" s="18"/>
      <c r="G1461" s="18"/>
      <c r="H1461" s="18"/>
      <c r="I1461" s="18"/>
      <c r="J1461" s="18"/>
      <c r="K1461" s="183"/>
      <c r="L1461" s="18"/>
    </row>
    <row r="1462" spans="1:12" ht="30" customHeight="1">
      <c r="A1462" s="172" t="s">
        <v>98</v>
      </c>
      <c r="B1462" s="23" t="s">
        <v>90</v>
      </c>
      <c r="C1462" s="24" t="s">
        <v>231</v>
      </c>
      <c r="D1462" s="25" t="s">
        <v>100</v>
      </c>
      <c r="E1462" s="93"/>
      <c r="K1462" s="183"/>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c r="E1463" s="79" t="str">
        <f t="shared" ref="E1463:E1497" si="76">IF(D1463&lt;&gt;"",IF(AND(B1463&lt;&gt;"",C1463&lt;&gt;""),"","ERR"),"")</f>
        <v/>
      </c>
      <c r="F1463" s="86" t="s">
        <v>101</v>
      </c>
      <c r="G1463" s="87" t="s">
        <v>102</v>
      </c>
      <c r="H1463" s="88" t="s">
        <v>103</v>
      </c>
      <c r="I1463" s="89" t="s">
        <v>93</v>
      </c>
      <c r="J1463" s="90" t="s">
        <v>91</v>
      </c>
      <c r="K1463" s="178" t="s">
        <v>97</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79">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3"/>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3"/>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3"/>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3"/>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3"/>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3"/>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3"/>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3"/>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3"/>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3"/>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3"/>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3"/>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3"/>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3"/>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3"/>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3"/>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3"/>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3"/>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3"/>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3"/>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3"/>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3"/>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3"/>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3"/>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3"/>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3"/>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3"/>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3"/>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3"/>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3"/>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3"/>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3"/>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3"/>
      <c r="L1497" s="18"/>
    </row>
    <row r="1498" spans="1:12" ht="13.5" customHeight="1">
      <c r="B1498" s="18"/>
      <c r="C1498" s="18"/>
      <c r="D1498" s="79"/>
      <c r="E1498" s="18"/>
      <c r="F1498" s="18"/>
      <c r="G1498" s="18"/>
      <c r="H1498" s="18"/>
      <c r="I1498" s="18"/>
      <c r="J1498" s="18"/>
      <c r="K1498" s="183"/>
      <c r="L1498" s="18"/>
    </row>
    <row r="1499" spans="1:12" ht="13.5" customHeight="1">
      <c r="B1499" s="18"/>
      <c r="C1499" s="18"/>
      <c r="D1499" s="79"/>
      <c r="E1499" s="83"/>
      <c r="F1499" s="18"/>
      <c r="G1499" s="18"/>
      <c r="H1499" s="18"/>
      <c r="I1499" s="18"/>
      <c r="J1499" s="18"/>
      <c r="K1499" s="183"/>
      <c r="L1499" s="18"/>
    </row>
    <row r="1500" spans="1:12" ht="30" customHeight="1">
      <c r="A1500" s="172" t="s">
        <v>98</v>
      </c>
      <c r="B1500" s="23" t="s">
        <v>90</v>
      </c>
      <c r="C1500" s="24" t="s">
        <v>232</v>
      </c>
      <c r="D1500" s="25" t="s">
        <v>100</v>
      </c>
      <c r="E1500" s="93"/>
      <c r="K1500" s="183"/>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c r="E1501" s="79" t="str">
        <f t="shared" ref="E1501:E1535" si="78">IF(D1501&lt;&gt;"",IF(AND(B1501&lt;&gt;"",C1501&lt;&gt;""),"","ERR"),"")</f>
        <v/>
      </c>
      <c r="F1501" s="86" t="s">
        <v>101</v>
      </c>
      <c r="G1501" s="87" t="s">
        <v>102</v>
      </c>
      <c r="H1501" s="88" t="s">
        <v>103</v>
      </c>
      <c r="I1501" s="89" t="s">
        <v>93</v>
      </c>
      <c r="J1501" s="90" t="s">
        <v>91</v>
      </c>
      <c r="K1501" s="178" t="s">
        <v>97</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79">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3"/>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3"/>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3"/>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3"/>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3"/>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3"/>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3"/>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3"/>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3"/>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3"/>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3"/>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3"/>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3"/>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3"/>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3"/>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3"/>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3"/>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3"/>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3"/>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3"/>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3"/>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3"/>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3"/>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3"/>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3"/>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3"/>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3"/>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3"/>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3"/>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3"/>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3"/>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3"/>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3"/>
      <c r="L1535" s="18"/>
    </row>
    <row r="1536" spans="1:12" ht="13.5" customHeight="1">
      <c r="B1536" s="18"/>
      <c r="C1536" s="18"/>
      <c r="D1536" s="79"/>
      <c r="E1536" s="18"/>
      <c r="F1536" s="18"/>
      <c r="G1536" s="18"/>
      <c r="H1536" s="18"/>
      <c r="I1536" s="18"/>
      <c r="J1536" s="18"/>
      <c r="K1536" s="183"/>
      <c r="L1536" s="18"/>
    </row>
    <row r="1537" spans="1:12" ht="13.5" customHeight="1">
      <c r="B1537" s="18"/>
      <c r="C1537" s="18"/>
      <c r="D1537" s="79"/>
      <c r="E1537" s="83"/>
      <c r="F1537" s="18"/>
      <c r="G1537" s="18"/>
      <c r="H1537" s="18"/>
      <c r="I1537" s="18"/>
      <c r="J1537" s="18"/>
      <c r="K1537" s="183"/>
      <c r="L1537" s="18"/>
    </row>
    <row r="1538" spans="1:12" ht="30" customHeight="1">
      <c r="A1538" s="172" t="s">
        <v>98</v>
      </c>
      <c r="B1538" s="23" t="s">
        <v>90</v>
      </c>
      <c r="C1538" s="24" t="s">
        <v>233</v>
      </c>
      <c r="D1538" s="25" t="s">
        <v>100</v>
      </c>
      <c r="E1538" s="93"/>
      <c r="K1538" s="183"/>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c r="E1539" s="79" t="str">
        <f t="shared" ref="E1539:E1573" si="80">IF(D1539&lt;&gt;"",IF(AND(B1539&lt;&gt;"",C1539&lt;&gt;""),"","ERR"),"")</f>
        <v/>
      </c>
      <c r="F1539" s="86" t="s">
        <v>101</v>
      </c>
      <c r="G1539" s="87" t="s">
        <v>102</v>
      </c>
      <c r="H1539" s="88" t="s">
        <v>103</v>
      </c>
      <c r="I1539" s="89" t="s">
        <v>93</v>
      </c>
      <c r="J1539" s="90" t="s">
        <v>91</v>
      </c>
      <c r="K1539" s="178" t="s">
        <v>97</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79">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3"/>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3"/>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3"/>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3"/>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3"/>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3"/>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3"/>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3"/>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3"/>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3"/>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3"/>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3"/>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3"/>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3"/>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3"/>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3"/>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3"/>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3"/>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3"/>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3"/>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3"/>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3"/>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3"/>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3"/>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3"/>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3"/>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3"/>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3"/>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3"/>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3"/>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3"/>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3"/>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3"/>
      <c r="L1573" s="18"/>
    </row>
    <row r="1574" spans="1:12" ht="13.5" customHeight="1">
      <c r="B1574" s="18"/>
      <c r="C1574" s="18"/>
      <c r="D1574" s="79"/>
      <c r="E1574" s="18"/>
      <c r="F1574" s="18"/>
      <c r="G1574" s="18"/>
      <c r="H1574" s="18"/>
      <c r="I1574" s="18"/>
      <c r="J1574" s="18"/>
      <c r="K1574" s="183"/>
      <c r="L1574" s="18"/>
    </row>
    <row r="1575" spans="1:12" ht="13.5" customHeight="1">
      <c r="B1575" s="18"/>
      <c r="C1575" s="18"/>
      <c r="D1575" s="79"/>
      <c r="E1575" s="83"/>
      <c r="F1575" s="18"/>
      <c r="G1575" s="18"/>
      <c r="H1575" s="18"/>
      <c r="I1575" s="18"/>
      <c r="J1575" s="18"/>
      <c r="K1575" s="183"/>
      <c r="L1575" s="18"/>
    </row>
    <row r="1576" spans="1:12" ht="30" customHeight="1">
      <c r="A1576" s="172" t="s">
        <v>98</v>
      </c>
      <c r="B1576" s="23" t="s">
        <v>90</v>
      </c>
      <c r="C1576" s="24" t="s">
        <v>234</v>
      </c>
      <c r="D1576" s="25" t="s">
        <v>100</v>
      </c>
      <c r="E1576" s="93"/>
      <c r="K1576" s="183"/>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c r="E1577" s="79" t="str">
        <f t="shared" ref="E1577:E1611" si="82">IF(D1577&lt;&gt;"",IF(AND(B1577&lt;&gt;"",C1577&lt;&gt;""),"","ERR"),"")</f>
        <v/>
      </c>
      <c r="F1577" s="86" t="s">
        <v>101</v>
      </c>
      <c r="G1577" s="87" t="s">
        <v>102</v>
      </c>
      <c r="H1577" s="88" t="s">
        <v>103</v>
      </c>
      <c r="I1577" s="89" t="s">
        <v>93</v>
      </c>
      <c r="J1577" s="90" t="s">
        <v>91</v>
      </c>
      <c r="K1577" s="178" t="s">
        <v>97</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79">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3"/>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3"/>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3"/>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3"/>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3"/>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3"/>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3"/>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3"/>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3"/>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3"/>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3"/>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3"/>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3"/>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3"/>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3"/>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3"/>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3"/>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3"/>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3"/>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3"/>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3"/>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3"/>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3"/>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3"/>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3"/>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3"/>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3"/>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3"/>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3"/>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3"/>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3"/>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3"/>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3"/>
      <c r="L1611" s="18"/>
    </row>
    <row r="1612" spans="1:12" ht="13.5" customHeight="1">
      <c r="B1612" s="18"/>
      <c r="C1612" s="18"/>
      <c r="D1612" s="79"/>
      <c r="E1612" s="18"/>
      <c r="F1612" s="18"/>
      <c r="G1612" s="18"/>
      <c r="H1612" s="18"/>
      <c r="I1612" s="18"/>
      <c r="J1612" s="18"/>
      <c r="K1612" s="183"/>
      <c r="L1612" s="18"/>
    </row>
    <row r="1613" spans="1:12" ht="14.5">
      <c r="B1613" s="18"/>
      <c r="C1613" s="18"/>
      <c r="D1613" s="79"/>
      <c r="E1613" s="83"/>
      <c r="K1613" s="183"/>
      <c r="L1613" s="18"/>
    </row>
    <row r="1614" spans="1:12" ht="31">
      <c r="A1614" s="172" t="s">
        <v>98</v>
      </c>
      <c r="B1614" s="23" t="s">
        <v>90</v>
      </c>
      <c r="C1614" s="24" t="s">
        <v>235</v>
      </c>
      <c r="D1614" s="25" t="s">
        <v>100</v>
      </c>
      <c r="E1614" s="93"/>
      <c r="K1614" s="183"/>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c r="E1615" s="79" t="str">
        <f t="shared" ref="E1615:E1649" si="84">IF(D1615&lt;&gt;"",IF(AND(B1615&lt;&gt;"",C1615&lt;&gt;""),"","ERR"),"")</f>
        <v/>
      </c>
      <c r="F1615" s="86" t="s">
        <v>101</v>
      </c>
      <c r="G1615" s="87" t="s">
        <v>102</v>
      </c>
      <c r="H1615" s="88" t="s">
        <v>103</v>
      </c>
      <c r="I1615" s="89" t="s">
        <v>93</v>
      </c>
      <c r="J1615" s="90" t="s">
        <v>91</v>
      </c>
      <c r="K1615" s="178" t="s">
        <v>97</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79">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3"/>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4"/>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4"/>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4"/>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3"/>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3"/>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3"/>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3"/>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3"/>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3"/>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3"/>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3"/>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3"/>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3"/>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3"/>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3"/>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3"/>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3"/>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3"/>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3"/>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3"/>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3"/>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3"/>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3"/>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3"/>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3"/>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3"/>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3"/>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3"/>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3"/>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3"/>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3"/>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3"/>
    </row>
    <row r="1650" spans="1:11" ht="14.5">
      <c r="B1650" s="18"/>
      <c r="C1650" s="18"/>
      <c r="D1650" s="79"/>
      <c r="E1650" s="18"/>
      <c r="F1650" s="18"/>
      <c r="G1650" s="18"/>
      <c r="H1650" s="18"/>
      <c r="I1650" s="18"/>
      <c r="J1650" s="18"/>
      <c r="K1650" s="183"/>
    </row>
    <row r="1651" spans="1:11" ht="14.5">
      <c r="B1651" s="18"/>
      <c r="C1651" s="18"/>
      <c r="D1651" s="79"/>
      <c r="E1651" s="83"/>
      <c r="F1651" s="18"/>
      <c r="G1651" s="18"/>
      <c r="H1651" s="18"/>
      <c r="I1651" s="18"/>
      <c r="J1651" s="18"/>
      <c r="K1651" s="183"/>
    </row>
    <row r="1652" spans="1:11" ht="31">
      <c r="A1652" s="172" t="s">
        <v>98</v>
      </c>
      <c r="B1652" s="23" t="s">
        <v>90</v>
      </c>
      <c r="C1652" s="24" t="s">
        <v>236</v>
      </c>
      <c r="D1652" s="25" t="s">
        <v>100</v>
      </c>
      <c r="E1652" s="93"/>
      <c r="K1652" s="183"/>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c r="E1653" s="79" t="str">
        <f t="shared" ref="E1653:E1687" si="86">IF(D1653&lt;&gt;"",IF(AND(B1653&lt;&gt;"",C1653&lt;&gt;""),"","ERR"),"")</f>
        <v/>
      </c>
      <c r="F1653" s="86" t="s">
        <v>101</v>
      </c>
      <c r="G1653" s="87" t="s">
        <v>102</v>
      </c>
      <c r="H1653" s="88" t="s">
        <v>103</v>
      </c>
      <c r="I1653" s="89" t="s">
        <v>93</v>
      </c>
      <c r="J1653" s="90" t="s">
        <v>91</v>
      </c>
      <c r="K1653" s="178" t="s">
        <v>97</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79">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3"/>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3"/>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3"/>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3"/>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3"/>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3"/>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3"/>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3"/>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3"/>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3"/>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3"/>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3"/>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3"/>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3"/>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3"/>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3"/>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3"/>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3"/>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3"/>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3"/>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3"/>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3"/>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3"/>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3"/>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3"/>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3"/>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3"/>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3"/>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3"/>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3"/>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3"/>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3"/>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3"/>
    </row>
    <row r="1688" spans="1:11" ht="14.5">
      <c r="B1688" s="18"/>
      <c r="C1688" s="18"/>
      <c r="D1688" s="79"/>
      <c r="E1688" s="18"/>
      <c r="F1688" s="18"/>
      <c r="G1688" s="18"/>
      <c r="H1688" s="18"/>
      <c r="I1688" s="18"/>
      <c r="J1688" s="18"/>
      <c r="K1688" s="183"/>
    </row>
    <row r="1689" spans="1:11" ht="14.5">
      <c r="B1689" s="18"/>
      <c r="C1689" s="18"/>
      <c r="D1689" s="79"/>
      <c r="E1689" s="83"/>
      <c r="F1689" s="18"/>
      <c r="G1689" s="18"/>
      <c r="H1689" s="18"/>
      <c r="I1689" s="18"/>
      <c r="J1689" s="18"/>
      <c r="K1689" s="183"/>
    </row>
    <row r="1690" spans="1:11" ht="31">
      <c r="A1690" s="172" t="s">
        <v>98</v>
      </c>
      <c r="B1690" s="23" t="s">
        <v>90</v>
      </c>
      <c r="C1690" s="24" t="s">
        <v>237</v>
      </c>
      <c r="D1690" s="25" t="s">
        <v>100</v>
      </c>
      <c r="E1690" s="93"/>
      <c r="K1690" s="183"/>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c r="E1691" s="79" t="str">
        <f t="shared" ref="E1691:E1725" si="88">IF(D1691&lt;&gt;"",IF(AND(B1691&lt;&gt;"",C1691&lt;&gt;""),"","ERR"),"")</f>
        <v/>
      </c>
      <c r="F1691" s="86" t="s">
        <v>101</v>
      </c>
      <c r="G1691" s="87" t="s">
        <v>102</v>
      </c>
      <c r="H1691" s="88" t="s">
        <v>103</v>
      </c>
      <c r="I1691" s="89" t="s">
        <v>93</v>
      </c>
      <c r="J1691" s="90" t="s">
        <v>91</v>
      </c>
      <c r="K1691" s="178" t="s">
        <v>97</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79">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3"/>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3"/>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3"/>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3"/>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3"/>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3"/>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3"/>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3"/>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3"/>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3"/>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3"/>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3"/>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3"/>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3"/>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3"/>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3"/>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3"/>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3"/>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3"/>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3"/>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3"/>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3"/>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3"/>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3"/>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3"/>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3"/>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3"/>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3"/>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3"/>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3"/>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3"/>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3"/>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3"/>
    </row>
    <row r="1726" spans="1:11">
      <c r="K1726" s="184"/>
    </row>
    <row r="1727" spans="1:11">
      <c r="K1727" s="184"/>
    </row>
    <row r="1728" spans="1:11">
      <c r="K1728" s="184"/>
    </row>
    <row r="1729" spans="11:11">
      <c r="K1729" s="184"/>
    </row>
    <row r="1730" spans="11:11">
      <c r="K1730" s="184"/>
    </row>
    <row r="1731" spans="11:11">
      <c r="K1731" s="184"/>
    </row>
    <row r="1732" spans="11:11">
      <c r="K1732" s="184"/>
    </row>
    <row r="1733" spans="11:11">
      <c r="K1733" s="184"/>
    </row>
    <row r="1734" spans="11:11">
      <c r="K1734" s="184"/>
    </row>
    <row r="1735" spans="11:11">
      <c r="K1735" s="184"/>
    </row>
    <row r="1736" spans="11:11">
      <c r="K1736" s="184"/>
    </row>
    <row r="1737" spans="11:11">
      <c r="K1737" s="184"/>
    </row>
    <row r="1738" spans="11:11">
      <c r="K1738" s="184"/>
    </row>
    <row r="1739" spans="11:11">
      <c r="K1739" s="184"/>
    </row>
    <row r="1740" spans="11:11">
      <c r="K1740" s="184"/>
    </row>
    <row r="1741" spans="11:11">
      <c r="K1741" s="184"/>
    </row>
    <row r="1742" spans="11:11">
      <c r="K1742" s="184"/>
    </row>
    <row r="1743" spans="11:11">
      <c r="K1743" s="184"/>
    </row>
    <row r="1744" spans="11:11">
      <c r="K1744" s="184"/>
    </row>
    <row r="1745" spans="11:11">
      <c r="K1745" s="184"/>
    </row>
    <row r="1746" spans="11:11">
      <c r="K1746" s="184"/>
    </row>
    <row r="1747" spans="11:11">
      <c r="K1747" s="184"/>
    </row>
    <row r="1748" spans="11:11">
      <c r="K1748" s="184"/>
    </row>
    <row r="1749" spans="11:11">
      <c r="K1749" s="184"/>
    </row>
    <row r="1750" spans="11:11">
      <c r="K1750" s="184"/>
    </row>
    <row r="1751" spans="11:11">
      <c r="K1751" s="184"/>
    </row>
    <row r="1752" spans="11:11">
      <c r="K1752" s="184"/>
    </row>
    <row r="1753" spans="11:11">
      <c r="K1753" s="184"/>
    </row>
    <row r="1754" spans="11:11">
      <c r="K1754" s="184"/>
    </row>
    <row r="1755" spans="11:11">
      <c r="K1755" s="184"/>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68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688" priority="681" stopIfTrue="1">
      <formula>ISBLANK(F19)</formula>
    </cfRule>
    <cfRule type="cellIs" dxfId="687" priority="682" stopIfTrue="1" operator="equal">
      <formula>"Pasa"</formula>
    </cfRule>
    <cfRule type="cellIs" dxfId="686" priority="683" stopIfTrue="1" operator="equal">
      <formula>"Falla"</formula>
    </cfRule>
    <cfRule type="cellIs" dxfId="685" priority="684" stopIfTrue="1" operator="equal">
      <formula>"N/A"</formula>
    </cfRule>
    <cfRule type="cellIs" dxfId="684" priority="685" stopIfTrue="1" operator="equal">
      <formula>"N/T"</formula>
    </cfRule>
    <cfRule type="cellIs" dxfId="683" priority="686" stopIfTrue="1" operator="equal">
      <formula>"N/D"</formula>
    </cfRule>
  </conditionalFormatting>
  <conditionalFormatting sqref="E741:E775 E779:E813 E817:E851 E855:E889 E893:E927 E931:E965 E1007:E1041 E1045:E1079 E1083:E1117 E1121:E1155 E1159:E1193 E1197:E1231 E1235:E1269 E1273:E1307">
    <cfRule type="cellIs" dxfId="682" priority="566" stopIfTrue="1" operator="equal">
      <formula>"ERR"</formula>
    </cfRule>
  </conditionalFormatting>
  <conditionalFormatting sqref="E1311:E1345 E1387:E1421 E1425:E1459 E1463:E1497 E1501:E1535 E1539:E1573 E1577:E1611">
    <cfRule type="cellIs" dxfId="681" priority="475" operator="equal">
      <formula>"ERR"</formula>
    </cfRule>
  </conditionalFormatting>
  <conditionalFormatting sqref="E1615:E1649 E1653:E1687">
    <cfRule type="cellIs" dxfId="680" priority="426" stopIfTrue="1" operator="equal">
      <formula>"ERR"</formula>
    </cfRule>
  </conditionalFormatting>
  <conditionalFormatting sqref="E969:E1004">
    <cfRule type="cellIs" dxfId="679" priority="407" stopIfTrue="1" operator="equal">
      <formula>"ERR"</formula>
    </cfRule>
  </conditionalFormatting>
  <conditionalFormatting sqref="E1349:E1383">
    <cfRule type="cellIs" dxfId="678" priority="394" operator="equal">
      <formula>"ERR"</formula>
    </cfRule>
  </conditionalFormatting>
  <conditionalFormatting sqref="D19:D53">
    <cfRule type="expression" dxfId="677" priority="350" stopIfTrue="1">
      <formula>ISBLANK(D19)</formula>
    </cfRule>
    <cfRule type="cellIs" dxfId="676" priority="351" stopIfTrue="1" operator="equal">
      <formula>"Pasa"</formula>
    </cfRule>
    <cfRule type="cellIs" dxfId="675" priority="352" stopIfTrue="1" operator="equal">
      <formula>"Falla"</formula>
    </cfRule>
    <cfRule type="cellIs" dxfId="674" priority="353" stopIfTrue="1" operator="equal">
      <formula>"N/A"</formula>
    </cfRule>
    <cfRule type="cellIs" dxfId="673" priority="354" stopIfTrue="1" operator="equal">
      <formula>"N/T"</formula>
    </cfRule>
    <cfRule type="cellIs" dxfId="672" priority="355" stopIfTrue="1" operator="equal">
      <formula>"N/D"</formula>
    </cfRule>
  </conditionalFormatting>
  <conditionalFormatting sqref="D19:D53">
    <cfRule type="cellIs" dxfId="671" priority="349" stopIfTrue="1" operator="equal">
      <formula>"-"</formula>
    </cfRule>
  </conditionalFormatting>
  <conditionalFormatting sqref="D57:D91">
    <cfRule type="expression" dxfId="670" priority="343" stopIfTrue="1">
      <formula>ISBLANK(D57)</formula>
    </cfRule>
    <cfRule type="cellIs" dxfId="669" priority="344" stopIfTrue="1" operator="equal">
      <formula>"Pasa"</formula>
    </cfRule>
    <cfRule type="cellIs" dxfId="668" priority="345" stopIfTrue="1" operator="equal">
      <formula>"Falla"</formula>
    </cfRule>
    <cfRule type="cellIs" dxfId="667" priority="346" stopIfTrue="1" operator="equal">
      <formula>"N/A"</formula>
    </cfRule>
    <cfRule type="cellIs" dxfId="666" priority="347" stopIfTrue="1" operator="equal">
      <formula>"N/T"</formula>
    </cfRule>
    <cfRule type="cellIs" dxfId="665" priority="348" stopIfTrue="1" operator="equal">
      <formula>"N/D"</formula>
    </cfRule>
  </conditionalFormatting>
  <conditionalFormatting sqref="D57:D91">
    <cfRule type="cellIs" dxfId="664" priority="342" stopIfTrue="1" operator="equal">
      <formula>"-"</formula>
    </cfRule>
  </conditionalFormatting>
  <conditionalFormatting sqref="D95:D129">
    <cfRule type="expression" dxfId="663" priority="336" stopIfTrue="1">
      <formula>ISBLANK(D95)</formula>
    </cfRule>
    <cfRule type="cellIs" dxfId="662" priority="337" stopIfTrue="1" operator="equal">
      <formula>"Pasa"</formula>
    </cfRule>
    <cfRule type="cellIs" dxfId="661" priority="338" stopIfTrue="1" operator="equal">
      <formula>"Falla"</formula>
    </cfRule>
    <cfRule type="cellIs" dxfId="660" priority="339" stopIfTrue="1" operator="equal">
      <formula>"N/A"</formula>
    </cfRule>
    <cfRule type="cellIs" dxfId="659" priority="340" stopIfTrue="1" operator="equal">
      <formula>"N/T"</formula>
    </cfRule>
    <cfRule type="cellIs" dxfId="658" priority="341" stopIfTrue="1" operator="equal">
      <formula>"N/D"</formula>
    </cfRule>
  </conditionalFormatting>
  <conditionalFormatting sqref="D95:D129">
    <cfRule type="cellIs" dxfId="657" priority="335" stopIfTrue="1" operator="equal">
      <formula>"-"</formula>
    </cfRule>
  </conditionalFormatting>
  <conditionalFormatting sqref="D133:D167">
    <cfRule type="expression" dxfId="656" priority="329" stopIfTrue="1">
      <formula>ISBLANK(D133)</formula>
    </cfRule>
    <cfRule type="cellIs" dxfId="655" priority="330" stopIfTrue="1" operator="equal">
      <formula>"Pasa"</formula>
    </cfRule>
    <cfRule type="cellIs" dxfId="654" priority="331" stopIfTrue="1" operator="equal">
      <formula>"Falla"</formula>
    </cfRule>
    <cfRule type="cellIs" dxfId="653" priority="332" stopIfTrue="1" operator="equal">
      <formula>"N/A"</formula>
    </cfRule>
    <cfRule type="cellIs" dxfId="652" priority="333" stopIfTrue="1" operator="equal">
      <formula>"N/T"</formula>
    </cfRule>
    <cfRule type="cellIs" dxfId="651" priority="334" stopIfTrue="1" operator="equal">
      <formula>"N/D"</formula>
    </cfRule>
  </conditionalFormatting>
  <conditionalFormatting sqref="D133:D167">
    <cfRule type="cellIs" dxfId="650" priority="328" stopIfTrue="1" operator="equal">
      <formula>"-"</formula>
    </cfRule>
  </conditionalFormatting>
  <conditionalFormatting sqref="D171:D205">
    <cfRule type="expression" dxfId="649" priority="315" stopIfTrue="1">
      <formula>ISBLANK(D171)</formula>
    </cfRule>
    <cfRule type="cellIs" dxfId="648" priority="316" stopIfTrue="1" operator="equal">
      <formula>"Pasa"</formula>
    </cfRule>
    <cfRule type="cellIs" dxfId="647" priority="317" stopIfTrue="1" operator="equal">
      <formula>"Falla"</formula>
    </cfRule>
    <cfRule type="cellIs" dxfId="646" priority="318" stopIfTrue="1" operator="equal">
      <formula>"N/A"</formula>
    </cfRule>
    <cfRule type="cellIs" dxfId="645" priority="319" stopIfTrue="1" operator="equal">
      <formula>"N/T"</formula>
    </cfRule>
    <cfRule type="cellIs" dxfId="644" priority="320" stopIfTrue="1" operator="equal">
      <formula>"N/D"</formula>
    </cfRule>
  </conditionalFormatting>
  <conditionalFormatting sqref="D171:D205">
    <cfRule type="cellIs" dxfId="643" priority="314" stopIfTrue="1" operator="equal">
      <formula>"-"</formula>
    </cfRule>
  </conditionalFormatting>
  <conditionalFormatting sqref="D209:D243">
    <cfRule type="expression" dxfId="642" priority="308" stopIfTrue="1">
      <formula>ISBLANK(D209)</formula>
    </cfRule>
    <cfRule type="cellIs" dxfId="641" priority="309" stopIfTrue="1" operator="equal">
      <formula>"Pasa"</formula>
    </cfRule>
    <cfRule type="cellIs" dxfId="640" priority="310" stopIfTrue="1" operator="equal">
      <formula>"Falla"</formula>
    </cfRule>
    <cfRule type="cellIs" dxfId="639" priority="311" stopIfTrue="1" operator="equal">
      <formula>"N/A"</formula>
    </cfRule>
    <cfRule type="cellIs" dxfId="638" priority="312" stopIfTrue="1" operator="equal">
      <formula>"N/T"</formula>
    </cfRule>
    <cfRule type="cellIs" dxfId="637" priority="313" stopIfTrue="1" operator="equal">
      <formula>"N/D"</formula>
    </cfRule>
  </conditionalFormatting>
  <conditionalFormatting sqref="D209:D243">
    <cfRule type="cellIs" dxfId="636" priority="307" stopIfTrue="1" operator="equal">
      <formula>"-"</formula>
    </cfRule>
  </conditionalFormatting>
  <conditionalFormatting sqref="D247:D281">
    <cfRule type="expression" dxfId="635" priority="301" stopIfTrue="1">
      <formula>ISBLANK(D247)</formula>
    </cfRule>
    <cfRule type="cellIs" dxfId="634" priority="302" stopIfTrue="1" operator="equal">
      <formula>"Pasa"</formula>
    </cfRule>
    <cfRule type="cellIs" dxfId="633" priority="303" stopIfTrue="1" operator="equal">
      <formula>"Falla"</formula>
    </cfRule>
    <cfRule type="cellIs" dxfId="632" priority="304" stopIfTrue="1" operator="equal">
      <formula>"N/A"</formula>
    </cfRule>
    <cfRule type="cellIs" dxfId="631" priority="305" stopIfTrue="1" operator="equal">
      <formula>"N/T"</formula>
    </cfRule>
    <cfRule type="cellIs" dxfId="630" priority="306" stopIfTrue="1" operator="equal">
      <formula>"N/D"</formula>
    </cfRule>
  </conditionalFormatting>
  <conditionalFormatting sqref="D247:D281">
    <cfRule type="cellIs" dxfId="629" priority="300" stopIfTrue="1" operator="equal">
      <formula>"-"</formula>
    </cfRule>
  </conditionalFormatting>
  <conditionalFormatting sqref="D285:D319">
    <cfRule type="expression" dxfId="628" priority="294" stopIfTrue="1">
      <formula>ISBLANK(D285)</formula>
    </cfRule>
    <cfRule type="cellIs" dxfId="627" priority="295" stopIfTrue="1" operator="equal">
      <formula>"Pasa"</formula>
    </cfRule>
    <cfRule type="cellIs" dxfId="626" priority="296" stopIfTrue="1" operator="equal">
      <formula>"Falla"</formula>
    </cfRule>
    <cfRule type="cellIs" dxfId="625" priority="297" stopIfTrue="1" operator="equal">
      <formula>"N/A"</formula>
    </cfRule>
    <cfRule type="cellIs" dxfId="624" priority="298" stopIfTrue="1" operator="equal">
      <formula>"N/T"</formula>
    </cfRule>
    <cfRule type="cellIs" dxfId="623" priority="299" stopIfTrue="1" operator="equal">
      <formula>"N/D"</formula>
    </cfRule>
  </conditionalFormatting>
  <conditionalFormatting sqref="D285:D319">
    <cfRule type="cellIs" dxfId="622" priority="293" stopIfTrue="1" operator="equal">
      <formula>"-"</formula>
    </cfRule>
  </conditionalFormatting>
  <conditionalFormatting sqref="D323:D357">
    <cfRule type="expression" dxfId="621" priority="287" stopIfTrue="1">
      <formula>ISBLANK(D323)</formula>
    </cfRule>
    <cfRule type="cellIs" dxfId="620" priority="288" stopIfTrue="1" operator="equal">
      <formula>"Pasa"</formula>
    </cfRule>
    <cfRule type="cellIs" dxfId="619" priority="289" stopIfTrue="1" operator="equal">
      <formula>"Falla"</formula>
    </cfRule>
    <cfRule type="cellIs" dxfId="618" priority="290" stopIfTrue="1" operator="equal">
      <formula>"N/A"</formula>
    </cfRule>
    <cfRule type="cellIs" dxfId="617" priority="291" stopIfTrue="1" operator="equal">
      <formula>"N/T"</formula>
    </cfRule>
    <cfRule type="cellIs" dxfId="616" priority="292" stopIfTrue="1" operator="equal">
      <formula>"N/D"</formula>
    </cfRule>
  </conditionalFormatting>
  <conditionalFormatting sqref="D323:D357">
    <cfRule type="cellIs" dxfId="615" priority="286" stopIfTrue="1" operator="equal">
      <formula>"-"</formula>
    </cfRule>
  </conditionalFormatting>
  <conditionalFormatting sqref="D361:D395">
    <cfRule type="expression" dxfId="614" priority="280" stopIfTrue="1">
      <formula>ISBLANK(D361)</formula>
    </cfRule>
    <cfRule type="cellIs" dxfId="613" priority="281" stopIfTrue="1" operator="equal">
      <formula>"Pasa"</formula>
    </cfRule>
    <cfRule type="cellIs" dxfId="612" priority="282" stopIfTrue="1" operator="equal">
      <formula>"Falla"</formula>
    </cfRule>
    <cfRule type="cellIs" dxfId="611" priority="283" stopIfTrue="1" operator="equal">
      <formula>"N/A"</formula>
    </cfRule>
    <cfRule type="cellIs" dxfId="610" priority="284" stopIfTrue="1" operator="equal">
      <formula>"N/T"</formula>
    </cfRule>
    <cfRule type="cellIs" dxfId="609" priority="285" stopIfTrue="1" operator="equal">
      <formula>"N/D"</formula>
    </cfRule>
  </conditionalFormatting>
  <conditionalFormatting sqref="D361:D395">
    <cfRule type="cellIs" dxfId="608" priority="279" stopIfTrue="1" operator="equal">
      <formula>"-"</formula>
    </cfRule>
  </conditionalFormatting>
  <conditionalFormatting sqref="D399:D433">
    <cfRule type="expression" dxfId="607" priority="273" stopIfTrue="1">
      <formula>ISBLANK(D399)</formula>
    </cfRule>
    <cfRule type="cellIs" dxfId="606" priority="274" stopIfTrue="1" operator="equal">
      <formula>"Pasa"</formula>
    </cfRule>
    <cfRule type="cellIs" dxfId="605" priority="275" stopIfTrue="1" operator="equal">
      <formula>"Falla"</formula>
    </cfRule>
    <cfRule type="cellIs" dxfId="604" priority="276" stopIfTrue="1" operator="equal">
      <formula>"N/A"</formula>
    </cfRule>
    <cfRule type="cellIs" dxfId="603" priority="277" stopIfTrue="1" operator="equal">
      <formula>"N/T"</formula>
    </cfRule>
    <cfRule type="cellIs" dxfId="602" priority="278" stopIfTrue="1" operator="equal">
      <formula>"N/D"</formula>
    </cfRule>
  </conditionalFormatting>
  <conditionalFormatting sqref="D399:D433">
    <cfRule type="cellIs" dxfId="601" priority="272" stopIfTrue="1" operator="equal">
      <formula>"-"</formula>
    </cfRule>
  </conditionalFormatting>
  <conditionalFormatting sqref="D437:D471">
    <cfRule type="expression" dxfId="600" priority="266" stopIfTrue="1">
      <formula>ISBLANK(D437)</formula>
    </cfRule>
    <cfRule type="cellIs" dxfId="599" priority="267" stopIfTrue="1" operator="equal">
      <formula>"Pasa"</formula>
    </cfRule>
    <cfRule type="cellIs" dxfId="598" priority="268" stopIfTrue="1" operator="equal">
      <formula>"Falla"</formula>
    </cfRule>
    <cfRule type="cellIs" dxfId="597" priority="269" stopIfTrue="1" operator="equal">
      <formula>"N/A"</formula>
    </cfRule>
    <cfRule type="cellIs" dxfId="596" priority="270" stopIfTrue="1" operator="equal">
      <formula>"N/T"</formula>
    </cfRule>
    <cfRule type="cellIs" dxfId="595" priority="271" stopIfTrue="1" operator="equal">
      <formula>"N/D"</formula>
    </cfRule>
  </conditionalFormatting>
  <conditionalFormatting sqref="D437:D471">
    <cfRule type="cellIs" dxfId="594" priority="265" stopIfTrue="1" operator="equal">
      <formula>"-"</formula>
    </cfRule>
  </conditionalFormatting>
  <conditionalFormatting sqref="D475:D509">
    <cfRule type="expression" dxfId="593" priority="259" stopIfTrue="1">
      <formula>ISBLANK(D475)</formula>
    </cfRule>
    <cfRule type="cellIs" dxfId="592" priority="260" stopIfTrue="1" operator="equal">
      <formula>"Pasa"</formula>
    </cfRule>
    <cfRule type="cellIs" dxfId="591" priority="261" stopIfTrue="1" operator="equal">
      <formula>"Falla"</formula>
    </cfRule>
    <cfRule type="cellIs" dxfId="590" priority="262" stopIfTrue="1" operator="equal">
      <formula>"N/A"</formula>
    </cfRule>
    <cfRule type="cellIs" dxfId="589" priority="263" stopIfTrue="1" operator="equal">
      <formula>"N/T"</formula>
    </cfRule>
    <cfRule type="cellIs" dxfId="588" priority="264" stopIfTrue="1" operator="equal">
      <formula>"N/D"</formula>
    </cfRule>
  </conditionalFormatting>
  <conditionalFormatting sqref="D475:D509">
    <cfRule type="cellIs" dxfId="587" priority="258" stopIfTrue="1" operator="equal">
      <formula>"-"</formula>
    </cfRule>
  </conditionalFormatting>
  <conditionalFormatting sqref="D513:D547">
    <cfRule type="expression" dxfId="586" priority="252" stopIfTrue="1">
      <formula>ISBLANK(D513)</formula>
    </cfRule>
    <cfRule type="cellIs" dxfId="585" priority="253" stopIfTrue="1" operator="equal">
      <formula>"Pasa"</formula>
    </cfRule>
    <cfRule type="cellIs" dxfId="584" priority="254" stopIfTrue="1" operator="equal">
      <formula>"Falla"</formula>
    </cfRule>
    <cfRule type="cellIs" dxfId="583" priority="255" stopIfTrue="1" operator="equal">
      <formula>"N/A"</formula>
    </cfRule>
    <cfRule type="cellIs" dxfId="582" priority="256" stopIfTrue="1" operator="equal">
      <formula>"N/T"</formula>
    </cfRule>
    <cfRule type="cellIs" dxfId="581" priority="257" stopIfTrue="1" operator="equal">
      <formula>"N/D"</formula>
    </cfRule>
  </conditionalFormatting>
  <conditionalFormatting sqref="D513:D547">
    <cfRule type="cellIs" dxfId="580" priority="251" stopIfTrue="1" operator="equal">
      <formula>"-"</formula>
    </cfRule>
  </conditionalFormatting>
  <conditionalFormatting sqref="D551:D585">
    <cfRule type="expression" dxfId="579" priority="245" stopIfTrue="1">
      <formula>ISBLANK(D551)</formula>
    </cfRule>
    <cfRule type="cellIs" dxfId="578" priority="246" stopIfTrue="1" operator="equal">
      <formula>"Pasa"</formula>
    </cfRule>
    <cfRule type="cellIs" dxfId="577" priority="247" stopIfTrue="1" operator="equal">
      <formula>"Falla"</formula>
    </cfRule>
    <cfRule type="cellIs" dxfId="576" priority="248" stopIfTrue="1" operator="equal">
      <formula>"N/A"</formula>
    </cfRule>
    <cfRule type="cellIs" dxfId="575" priority="249" stopIfTrue="1" operator="equal">
      <formula>"N/T"</formula>
    </cfRule>
    <cfRule type="cellIs" dxfId="574" priority="250" stopIfTrue="1" operator="equal">
      <formula>"N/D"</formula>
    </cfRule>
  </conditionalFormatting>
  <conditionalFormatting sqref="D551:D585">
    <cfRule type="cellIs" dxfId="573" priority="244" stopIfTrue="1" operator="equal">
      <formula>"-"</formula>
    </cfRule>
  </conditionalFormatting>
  <conditionalFormatting sqref="D589:D623">
    <cfRule type="expression" dxfId="572" priority="238" stopIfTrue="1">
      <formula>ISBLANK(D589)</formula>
    </cfRule>
    <cfRule type="cellIs" dxfId="571" priority="239" stopIfTrue="1" operator="equal">
      <formula>"Pasa"</formula>
    </cfRule>
    <cfRule type="cellIs" dxfId="570" priority="240" stopIfTrue="1" operator="equal">
      <formula>"Falla"</formula>
    </cfRule>
    <cfRule type="cellIs" dxfId="569" priority="241" stopIfTrue="1" operator="equal">
      <formula>"N/A"</formula>
    </cfRule>
    <cfRule type="cellIs" dxfId="568" priority="242" stopIfTrue="1" operator="equal">
      <formula>"N/T"</formula>
    </cfRule>
    <cfRule type="cellIs" dxfId="567" priority="243" stopIfTrue="1" operator="equal">
      <formula>"N/D"</formula>
    </cfRule>
  </conditionalFormatting>
  <conditionalFormatting sqref="D589:D623">
    <cfRule type="cellIs" dxfId="566" priority="237" stopIfTrue="1" operator="equal">
      <formula>"-"</formula>
    </cfRule>
  </conditionalFormatting>
  <conditionalFormatting sqref="D627:D661">
    <cfRule type="expression" dxfId="565" priority="231" stopIfTrue="1">
      <formula>ISBLANK(D627)</formula>
    </cfRule>
    <cfRule type="cellIs" dxfId="564" priority="232" stopIfTrue="1" operator="equal">
      <formula>"Pasa"</formula>
    </cfRule>
    <cfRule type="cellIs" dxfId="563" priority="233" stopIfTrue="1" operator="equal">
      <formula>"Falla"</formula>
    </cfRule>
    <cfRule type="cellIs" dxfId="562" priority="234" stopIfTrue="1" operator="equal">
      <formula>"N/A"</formula>
    </cfRule>
    <cfRule type="cellIs" dxfId="561" priority="235" stopIfTrue="1" operator="equal">
      <formula>"N/T"</formula>
    </cfRule>
    <cfRule type="cellIs" dxfId="560" priority="236" stopIfTrue="1" operator="equal">
      <formula>"N/D"</formula>
    </cfRule>
  </conditionalFormatting>
  <conditionalFormatting sqref="D627:D661">
    <cfRule type="cellIs" dxfId="559" priority="230" stopIfTrue="1" operator="equal">
      <formula>"-"</formula>
    </cfRule>
  </conditionalFormatting>
  <conditionalFormatting sqref="D665:D699">
    <cfRule type="expression" dxfId="558" priority="224" stopIfTrue="1">
      <formula>ISBLANK(D665)</formula>
    </cfRule>
    <cfRule type="cellIs" dxfId="557" priority="225" stopIfTrue="1" operator="equal">
      <formula>"Pasa"</formula>
    </cfRule>
    <cfRule type="cellIs" dxfId="556" priority="226" stopIfTrue="1" operator="equal">
      <formula>"Falla"</formula>
    </cfRule>
    <cfRule type="cellIs" dxfId="555" priority="227" stopIfTrue="1" operator="equal">
      <formula>"N/A"</formula>
    </cfRule>
    <cfRule type="cellIs" dxfId="554" priority="228" stopIfTrue="1" operator="equal">
      <formula>"N/T"</formula>
    </cfRule>
    <cfRule type="cellIs" dxfId="553" priority="229" stopIfTrue="1" operator="equal">
      <formula>"N/D"</formula>
    </cfRule>
  </conditionalFormatting>
  <conditionalFormatting sqref="D665:D699">
    <cfRule type="cellIs" dxfId="552" priority="223" stopIfTrue="1" operator="equal">
      <formula>"-"</formula>
    </cfRule>
  </conditionalFormatting>
  <conditionalFormatting sqref="D703:D737">
    <cfRule type="expression" dxfId="551" priority="217" stopIfTrue="1">
      <formula>ISBLANK(D703)</formula>
    </cfRule>
    <cfRule type="cellIs" dxfId="550" priority="218" stopIfTrue="1" operator="equal">
      <formula>"Pasa"</formula>
    </cfRule>
    <cfRule type="cellIs" dxfId="549" priority="219" stopIfTrue="1" operator="equal">
      <formula>"Falla"</formula>
    </cfRule>
    <cfRule type="cellIs" dxfId="548" priority="220" stopIfTrue="1" operator="equal">
      <formula>"N/A"</formula>
    </cfRule>
    <cfRule type="cellIs" dxfId="547" priority="221" stopIfTrue="1" operator="equal">
      <formula>"N/T"</formula>
    </cfRule>
    <cfRule type="cellIs" dxfId="546" priority="222" stopIfTrue="1" operator="equal">
      <formula>"N/D"</formula>
    </cfRule>
  </conditionalFormatting>
  <conditionalFormatting sqref="D703:D737">
    <cfRule type="cellIs" dxfId="545" priority="216" stopIfTrue="1" operator="equal">
      <formula>"-"</formula>
    </cfRule>
  </conditionalFormatting>
  <conditionalFormatting sqref="D741:D775">
    <cfRule type="expression" dxfId="544" priority="210" stopIfTrue="1">
      <formula>ISBLANK(D741)</formula>
    </cfRule>
    <cfRule type="cellIs" dxfId="543" priority="211" stopIfTrue="1" operator="equal">
      <formula>"Pasa"</formula>
    </cfRule>
    <cfRule type="cellIs" dxfId="542" priority="212" stopIfTrue="1" operator="equal">
      <formula>"Falla"</formula>
    </cfRule>
    <cfRule type="cellIs" dxfId="541" priority="213" stopIfTrue="1" operator="equal">
      <formula>"N/A"</formula>
    </cfRule>
    <cfRule type="cellIs" dxfId="540" priority="214" stopIfTrue="1" operator="equal">
      <formula>"N/T"</formula>
    </cfRule>
    <cfRule type="cellIs" dxfId="539" priority="215" stopIfTrue="1" operator="equal">
      <formula>"N/D"</formula>
    </cfRule>
  </conditionalFormatting>
  <conditionalFormatting sqref="D741:D775">
    <cfRule type="cellIs" dxfId="538" priority="209" stopIfTrue="1" operator="equal">
      <formula>"-"</formula>
    </cfRule>
  </conditionalFormatting>
  <conditionalFormatting sqref="D779:D813">
    <cfRule type="expression" dxfId="537" priority="203" stopIfTrue="1">
      <formula>ISBLANK(D779)</formula>
    </cfRule>
    <cfRule type="cellIs" dxfId="536" priority="204" stopIfTrue="1" operator="equal">
      <formula>"Pasa"</formula>
    </cfRule>
    <cfRule type="cellIs" dxfId="535" priority="205" stopIfTrue="1" operator="equal">
      <formula>"Falla"</formula>
    </cfRule>
    <cfRule type="cellIs" dxfId="534" priority="206" stopIfTrue="1" operator="equal">
      <formula>"N/A"</formula>
    </cfRule>
    <cfRule type="cellIs" dxfId="533" priority="207" stopIfTrue="1" operator="equal">
      <formula>"N/T"</formula>
    </cfRule>
    <cfRule type="cellIs" dxfId="532" priority="208" stopIfTrue="1" operator="equal">
      <formula>"N/D"</formula>
    </cfRule>
  </conditionalFormatting>
  <conditionalFormatting sqref="D779:D813">
    <cfRule type="cellIs" dxfId="531" priority="202" stopIfTrue="1" operator="equal">
      <formula>"-"</formula>
    </cfRule>
  </conditionalFormatting>
  <conditionalFormatting sqref="D817:D851">
    <cfRule type="expression" dxfId="530" priority="196" stopIfTrue="1">
      <formula>ISBLANK(D817)</formula>
    </cfRule>
    <cfRule type="cellIs" dxfId="529" priority="197" stopIfTrue="1" operator="equal">
      <formula>"Pasa"</formula>
    </cfRule>
    <cfRule type="cellIs" dxfId="528" priority="198" stopIfTrue="1" operator="equal">
      <formula>"Falla"</formula>
    </cfRule>
    <cfRule type="cellIs" dxfId="527" priority="199" stopIfTrue="1" operator="equal">
      <formula>"N/A"</formula>
    </cfRule>
    <cfRule type="cellIs" dxfId="526" priority="200" stopIfTrue="1" operator="equal">
      <formula>"N/T"</formula>
    </cfRule>
    <cfRule type="cellIs" dxfId="525" priority="201" stopIfTrue="1" operator="equal">
      <formula>"N/D"</formula>
    </cfRule>
  </conditionalFormatting>
  <conditionalFormatting sqref="D817:D851">
    <cfRule type="cellIs" dxfId="524" priority="195" stopIfTrue="1" operator="equal">
      <formula>"-"</formula>
    </cfRule>
  </conditionalFormatting>
  <conditionalFormatting sqref="D855:D889">
    <cfRule type="expression" dxfId="523" priority="189" stopIfTrue="1">
      <formula>ISBLANK(D855)</formula>
    </cfRule>
    <cfRule type="cellIs" dxfId="522" priority="190" stopIfTrue="1" operator="equal">
      <formula>"Pasa"</formula>
    </cfRule>
    <cfRule type="cellIs" dxfId="521" priority="191" stopIfTrue="1" operator="equal">
      <formula>"Falla"</formula>
    </cfRule>
    <cfRule type="cellIs" dxfId="520" priority="192" stopIfTrue="1" operator="equal">
      <formula>"N/A"</formula>
    </cfRule>
    <cfRule type="cellIs" dxfId="519" priority="193" stopIfTrue="1" operator="equal">
      <formula>"N/T"</formula>
    </cfRule>
    <cfRule type="cellIs" dxfId="518" priority="194" stopIfTrue="1" operator="equal">
      <formula>"N/D"</formula>
    </cfRule>
  </conditionalFormatting>
  <conditionalFormatting sqref="D855:D889">
    <cfRule type="cellIs" dxfId="517" priority="188" stopIfTrue="1" operator="equal">
      <formula>"-"</formula>
    </cfRule>
  </conditionalFormatting>
  <conditionalFormatting sqref="D893:D927">
    <cfRule type="expression" dxfId="516" priority="182" stopIfTrue="1">
      <formula>ISBLANK(D893)</formula>
    </cfRule>
    <cfRule type="cellIs" dxfId="515" priority="183" stopIfTrue="1" operator="equal">
      <formula>"Pasa"</formula>
    </cfRule>
    <cfRule type="cellIs" dxfId="514" priority="184" stopIfTrue="1" operator="equal">
      <formula>"Falla"</formula>
    </cfRule>
    <cfRule type="cellIs" dxfId="513" priority="185" stopIfTrue="1" operator="equal">
      <formula>"N/A"</formula>
    </cfRule>
    <cfRule type="cellIs" dxfId="512" priority="186" stopIfTrue="1" operator="equal">
      <formula>"N/T"</formula>
    </cfRule>
    <cfRule type="cellIs" dxfId="511" priority="187" stopIfTrue="1" operator="equal">
      <formula>"N/D"</formula>
    </cfRule>
  </conditionalFormatting>
  <conditionalFormatting sqref="D893:D927">
    <cfRule type="cellIs" dxfId="510" priority="181" stopIfTrue="1" operator="equal">
      <formula>"-"</formula>
    </cfRule>
  </conditionalFormatting>
  <conditionalFormatting sqref="D931:D965">
    <cfRule type="expression" dxfId="509" priority="175" stopIfTrue="1">
      <formula>ISBLANK(D931)</formula>
    </cfRule>
    <cfRule type="cellIs" dxfId="508" priority="176" stopIfTrue="1" operator="equal">
      <formula>"Pasa"</formula>
    </cfRule>
    <cfRule type="cellIs" dxfId="507" priority="177" stopIfTrue="1" operator="equal">
      <formula>"Falla"</formula>
    </cfRule>
    <cfRule type="cellIs" dxfId="506" priority="178" stopIfTrue="1" operator="equal">
      <formula>"N/A"</formula>
    </cfRule>
    <cfRule type="cellIs" dxfId="505" priority="179" stopIfTrue="1" operator="equal">
      <formula>"N/T"</formula>
    </cfRule>
    <cfRule type="cellIs" dxfId="504" priority="180" stopIfTrue="1" operator="equal">
      <formula>"N/D"</formula>
    </cfRule>
  </conditionalFormatting>
  <conditionalFormatting sqref="D931:D965">
    <cfRule type="cellIs" dxfId="503" priority="174" stopIfTrue="1" operator="equal">
      <formula>"-"</formula>
    </cfRule>
  </conditionalFormatting>
  <conditionalFormatting sqref="D969:D1003">
    <cfRule type="expression" dxfId="502" priority="168" stopIfTrue="1">
      <formula>ISBLANK(D969)</formula>
    </cfRule>
    <cfRule type="cellIs" dxfId="501" priority="169" stopIfTrue="1" operator="equal">
      <formula>"Pasa"</formula>
    </cfRule>
    <cfRule type="cellIs" dxfId="500" priority="170" stopIfTrue="1" operator="equal">
      <formula>"Falla"</formula>
    </cfRule>
    <cfRule type="cellIs" dxfId="499" priority="171" stopIfTrue="1" operator="equal">
      <formula>"N/A"</formula>
    </cfRule>
    <cfRule type="cellIs" dxfId="498" priority="172" stopIfTrue="1" operator="equal">
      <formula>"N/T"</formula>
    </cfRule>
    <cfRule type="cellIs" dxfId="497" priority="173" stopIfTrue="1" operator="equal">
      <formula>"N/D"</formula>
    </cfRule>
  </conditionalFormatting>
  <conditionalFormatting sqref="D969:D1003">
    <cfRule type="cellIs" dxfId="496" priority="167" stopIfTrue="1" operator="equal">
      <formula>"-"</formula>
    </cfRule>
  </conditionalFormatting>
  <conditionalFormatting sqref="D1007:D1041">
    <cfRule type="expression" dxfId="495" priority="161" stopIfTrue="1">
      <formula>ISBLANK(D1007)</formula>
    </cfRule>
    <cfRule type="cellIs" dxfId="494" priority="162" stopIfTrue="1" operator="equal">
      <formula>"Pasa"</formula>
    </cfRule>
    <cfRule type="cellIs" dxfId="493" priority="163" stopIfTrue="1" operator="equal">
      <formula>"Falla"</formula>
    </cfRule>
    <cfRule type="cellIs" dxfId="492" priority="164" stopIfTrue="1" operator="equal">
      <formula>"N/A"</formula>
    </cfRule>
    <cfRule type="cellIs" dxfId="491" priority="165" stopIfTrue="1" operator="equal">
      <formula>"N/T"</formula>
    </cfRule>
    <cfRule type="cellIs" dxfId="490" priority="166" stopIfTrue="1" operator="equal">
      <formula>"N/D"</formula>
    </cfRule>
  </conditionalFormatting>
  <conditionalFormatting sqref="D1007:D1041">
    <cfRule type="cellIs" dxfId="489" priority="160" stopIfTrue="1" operator="equal">
      <formula>"-"</formula>
    </cfRule>
  </conditionalFormatting>
  <conditionalFormatting sqref="D1045:D1079">
    <cfRule type="expression" dxfId="488" priority="154" stopIfTrue="1">
      <formula>ISBLANK(D1045)</formula>
    </cfRule>
    <cfRule type="cellIs" dxfId="487" priority="155" stopIfTrue="1" operator="equal">
      <formula>"Pasa"</formula>
    </cfRule>
    <cfRule type="cellIs" dxfId="486" priority="156" stopIfTrue="1" operator="equal">
      <formula>"Falla"</formula>
    </cfRule>
    <cfRule type="cellIs" dxfId="485" priority="157" stopIfTrue="1" operator="equal">
      <formula>"N/A"</formula>
    </cfRule>
    <cfRule type="cellIs" dxfId="484" priority="158" stopIfTrue="1" operator="equal">
      <formula>"N/T"</formula>
    </cfRule>
    <cfRule type="cellIs" dxfId="483" priority="159" stopIfTrue="1" operator="equal">
      <formula>"N/D"</formula>
    </cfRule>
  </conditionalFormatting>
  <conditionalFormatting sqref="D1045:D1079">
    <cfRule type="cellIs" dxfId="482" priority="153" stopIfTrue="1" operator="equal">
      <formula>"-"</formula>
    </cfRule>
  </conditionalFormatting>
  <conditionalFormatting sqref="D1083:D1117">
    <cfRule type="expression" dxfId="481" priority="147" stopIfTrue="1">
      <formula>ISBLANK(D1083)</formula>
    </cfRule>
    <cfRule type="cellIs" dxfId="480" priority="148" stopIfTrue="1" operator="equal">
      <formula>"Pasa"</formula>
    </cfRule>
    <cfRule type="cellIs" dxfId="479" priority="149" stopIfTrue="1" operator="equal">
      <formula>"Falla"</formula>
    </cfRule>
    <cfRule type="cellIs" dxfId="478" priority="150" stopIfTrue="1" operator="equal">
      <formula>"N/A"</formula>
    </cfRule>
    <cfRule type="cellIs" dxfId="477" priority="151" stopIfTrue="1" operator="equal">
      <formula>"N/T"</formula>
    </cfRule>
    <cfRule type="cellIs" dxfId="476" priority="152" stopIfTrue="1" operator="equal">
      <formula>"N/D"</formula>
    </cfRule>
  </conditionalFormatting>
  <conditionalFormatting sqref="D1083:D1117">
    <cfRule type="cellIs" dxfId="475" priority="146" stopIfTrue="1" operator="equal">
      <formula>"-"</formula>
    </cfRule>
  </conditionalFormatting>
  <conditionalFormatting sqref="D1121:D1155">
    <cfRule type="expression" dxfId="474" priority="140" stopIfTrue="1">
      <formula>ISBLANK(D1121)</formula>
    </cfRule>
    <cfRule type="cellIs" dxfId="473" priority="141" stopIfTrue="1" operator="equal">
      <formula>"Pasa"</formula>
    </cfRule>
    <cfRule type="cellIs" dxfId="472" priority="142" stopIfTrue="1" operator="equal">
      <formula>"Falla"</formula>
    </cfRule>
    <cfRule type="cellIs" dxfId="471" priority="143" stopIfTrue="1" operator="equal">
      <formula>"N/A"</formula>
    </cfRule>
    <cfRule type="cellIs" dxfId="470" priority="144" stopIfTrue="1" operator="equal">
      <formula>"N/T"</formula>
    </cfRule>
    <cfRule type="cellIs" dxfId="469" priority="145" stopIfTrue="1" operator="equal">
      <formula>"N/D"</formula>
    </cfRule>
  </conditionalFormatting>
  <conditionalFormatting sqref="D1121:D1155">
    <cfRule type="cellIs" dxfId="468" priority="139" stopIfTrue="1" operator="equal">
      <formula>"-"</formula>
    </cfRule>
  </conditionalFormatting>
  <conditionalFormatting sqref="D1159:D1193">
    <cfRule type="expression" dxfId="467" priority="133" stopIfTrue="1">
      <formula>ISBLANK(D1159)</formula>
    </cfRule>
    <cfRule type="cellIs" dxfId="466" priority="134" stopIfTrue="1" operator="equal">
      <formula>"Pasa"</formula>
    </cfRule>
    <cfRule type="cellIs" dxfId="465" priority="135" stopIfTrue="1" operator="equal">
      <formula>"Falla"</formula>
    </cfRule>
    <cfRule type="cellIs" dxfId="464" priority="136" stopIfTrue="1" operator="equal">
      <formula>"N/A"</formula>
    </cfRule>
    <cfRule type="cellIs" dxfId="463" priority="137" stopIfTrue="1" operator="equal">
      <formula>"N/T"</formula>
    </cfRule>
    <cfRule type="cellIs" dxfId="462" priority="138" stopIfTrue="1" operator="equal">
      <formula>"N/D"</formula>
    </cfRule>
  </conditionalFormatting>
  <conditionalFormatting sqref="D1159:D1193">
    <cfRule type="cellIs" dxfId="461" priority="132" stopIfTrue="1" operator="equal">
      <formula>"-"</formula>
    </cfRule>
  </conditionalFormatting>
  <conditionalFormatting sqref="D1197:D1231">
    <cfRule type="expression" dxfId="460" priority="126" stopIfTrue="1">
      <formula>ISBLANK(D1197)</formula>
    </cfRule>
    <cfRule type="cellIs" dxfId="459" priority="127" stopIfTrue="1" operator="equal">
      <formula>"Pasa"</formula>
    </cfRule>
    <cfRule type="cellIs" dxfId="458" priority="128" stopIfTrue="1" operator="equal">
      <formula>"Falla"</formula>
    </cfRule>
    <cfRule type="cellIs" dxfId="457" priority="129" stopIfTrue="1" operator="equal">
      <formula>"N/A"</formula>
    </cfRule>
    <cfRule type="cellIs" dxfId="456" priority="130" stopIfTrue="1" operator="equal">
      <formula>"N/T"</formula>
    </cfRule>
    <cfRule type="cellIs" dxfId="455" priority="131" stopIfTrue="1" operator="equal">
      <formula>"N/D"</formula>
    </cfRule>
  </conditionalFormatting>
  <conditionalFormatting sqref="D1197:D1231">
    <cfRule type="cellIs" dxfId="454" priority="125" stopIfTrue="1" operator="equal">
      <formula>"-"</formula>
    </cfRule>
  </conditionalFormatting>
  <conditionalFormatting sqref="D1235:D1269">
    <cfRule type="expression" dxfId="453" priority="119" stopIfTrue="1">
      <formula>ISBLANK(D1235)</formula>
    </cfRule>
    <cfRule type="cellIs" dxfId="452" priority="120" stopIfTrue="1" operator="equal">
      <formula>"Pasa"</formula>
    </cfRule>
    <cfRule type="cellIs" dxfId="451" priority="121" stopIfTrue="1" operator="equal">
      <formula>"Falla"</formula>
    </cfRule>
    <cfRule type="cellIs" dxfId="450" priority="122" stopIfTrue="1" operator="equal">
      <formula>"N/A"</formula>
    </cfRule>
    <cfRule type="cellIs" dxfId="449" priority="123" stopIfTrue="1" operator="equal">
      <formula>"N/T"</formula>
    </cfRule>
    <cfRule type="cellIs" dxfId="448" priority="124" stopIfTrue="1" operator="equal">
      <formula>"N/D"</formula>
    </cfRule>
  </conditionalFormatting>
  <conditionalFormatting sqref="D1235:D1269">
    <cfRule type="cellIs" dxfId="447" priority="118" stopIfTrue="1" operator="equal">
      <formula>"-"</formula>
    </cfRule>
  </conditionalFormatting>
  <conditionalFormatting sqref="D1273:D1307">
    <cfRule type="expression" dxfId="446" priority="112" stopIfTrue="1">
      <formula>ISBLANK(D1273)</formula>
    </cfRule>
    <cfRule type="cellIs" dxfId="445" priority="113" stopIfTrue="1" operator="equal">
      <formula>"Pasa"</formula>
    </cfRule>
    <cfRule type="cellIs" dxfId="444" priority="114" stopIfTrue="1" operator="equal">
      <formula>"Falla"</formula>
    </cfRule>
    <cfRule type="cellIs" dxfId="443" priority="115" stopIfTrue="1" operator="equal">
      <formula>"N/A"</formula>
    </cfRule>
    <cfRule type="cellIs" dxfId="442" priority="116" stopIfTrue="1" operator="equal">
      <formula>"N/T"</formula>
    </cfRule>
    <cfRule type="cellIs" dxfId="441" priority="117" stopIfTrue="1" operator="equal">
      <formula>"N/D"</formula>
    </cfRule>
  </conditionalFormatting>
  <conditionalFormatting sqref="D1273:D1307">
    <cfRule type="cellIs" dxfId="440" priority="111" stopIfTrue="1" operator="equal">
      <formula>"-"</formula>
    </cfRule>
  </conditionalFormatting>
  <conditionalFormatting sqref="D1311:D1345">
    <cfRule type="expression" dxfId="439" priority="105" stopIfTrue="1">
      <formula>ISBLANK(D1311)</formula>
    </cfRule>
    <cfRule type="cellIs" dxfId="438" priority="106" stopIfTrue="1" operator="equal">
      <formula>"Pasa"</formula>
    </cfRule>
    <cfRule type="cellIs" dxfId="437" priority="107" stopIfTrue="1" operator="equal">
      <formula>"Falla"</formula>
    </cfRule>
    <cfRule type="cellIs" dxfId="436" priority="108" stopIfTrue="1" operator="equal">
      <formula>"N/A"</formula>
    </cfRule>
    <cfRule type="cellIs" dxfId="435" priority="109" stopIfTrue="1" operator="equal">
      <formula>"N/T"</formula>
    </cfRule>
    <cfRule type="cellIs" dxfId="434" priority="110" stopIfTrue="1" operator="equal">
      <formula>"N/D"</formula>
    </cfRule>
  </conditionalFormatting>
  <conditionalFormatting sqref="D1311:D1345">
    <cfRule type="cellIs" dxfId="433" priority="104" stopIfTrue="1" operator="equal">
      <formula>"-"</formula>
    </cfRule>
  </conditionalFormatting>
  <conditionalFormatting sqref="D1349:D1383">
    <cfRule type="expression" dxfId="432" priority="98" stopIfTrue="1">
      <formula>ISBLANK(D1349)</formula>
    </cfRule>
    <cfRule type="cellIs" dxfId="431" priority="99" stopIfTrue="1" operator="equal">
      <formula>"Pasa"</formula>
    </cfRule>
    <cfRule type="cellIs" dxfId="430" priority="100" stopIfTrue="1" operator="equal">
      <formula>"Falla"</formula>
    </cfRule>
    <cfRule type="cellIs" dxfId="429" priority="101" stopIfTrue="1" operator="equal">
      <formula>"N/A"</formula>
    </cfRule>
    <cfRule type="cellIs" dxfId="428" priority="102" stopIfTrue="1" operator="equal">
      <formula>"N/T"</formula>
    </cfRule>
    <cfRule type="cellIs" dxfId="427" priority="103" stopIfTrue="1" operator="equal">
      <formula>"N/D"</formula>
    </cfRule>
  </conditionalFormatting>
  <conditionalFormatting sqref="D1349:D1383">
    <cfRule type="cellIs" dxfId="426" priority="97" stopIfTrue="1" operator="equal">
      <formula>"-"</formula>
    </cfRule>
  </conditionalFormatting>
  <conditionalFormatting sqref="D1387:D1421">
    <cfRule type="expression" dxfId="425" priority="91" stopIfTrue="1">
      <formula>ISBLANK(D1387)</formula>
    </cfRule>
    <cfRule type="cellIs" dxfId="424" priority="92" stopIfTrue="1" operator="equal">
      <formula>"Pasa"</formula>
    </cfRule>
    <cfRule type="cellIs" dxfId="423" priority="93" stopIfTrue="1" operator="equal">
      <formula>"Falla"</formula>
    </cfRule>
    <cfRule type="cellIs" dxfId="422" priority="94" stopIfTrue="1" operator="equal">
      <formula>"N/A"</formula>
    </cfRule>
    <cfRule type="cellIs" dxfId="421" priority="95" stopIfTrue="1" operator="equal">
      <formula>"N/T"</formula>
    </cfRule>
    <cfRule type="cellIs" dxfId="420" priority="96" stopIfTrue="1" operator="equal">
      <formula>"N/D"</formula>
    </cfRule>
  </conditionalFormatting>
  <conditionalFormatting sqref="D1387:D1421">
    <cfRule type="cellIs" dxfId="419" priority="90" stopIfTrue="1" operator="equal">
      <formula>"-"</formula>
    </cfRule>
  </conditionalFormatting>
  <conditionalFormatting sqref="D1425:D1459">
    <cfRule type="expression" dxfId="418" priority="84" stopIfTrue="1">
      <formula>ISBLANK(D1425)</formula>
    </cfRule>
    <cfRule type="cellIs" dxfId="417" priority="85" stopIfTrue="1" operator="equal">
      <formula>"Pasa"</formula>
    </cfRule>
    <cfRule type="cellIs" dxfId="416" priority="86" stopIfTrue="1" operator="equal">
      <formula>"Falla"</formula>
    </cfRule>
    <cfRule type="cellIs" dxfId="415" priority="87" stopIfTrue="1" operator="equal">
      <formula>"N/A"</formula>
    </cfRule>
    <cfRule type="cellIs" dxfId="414" priority="88" stopIfTrue="1" operator="equal">
      <formula>"N/T"</formula>
    </cfRule>
    <cfRule type="cellIs" dxfId="413" priority="89" stopIfTrue="1" operator="equal">
      <formula>"N/D"</formula>
    </cfRule>
  </conditionalFormatting>
  <conditionalFormatting sqref="D1425:D1459">
    <cfRule type="cellIs" dxfId="412" priority="83" stopIfTrue="1" operator="equal">
      <formula>"-"</formula>
    </cfRule>
  </conditionalFormatting>
  <conditionalFormatting sqref="D1463:D1497">
    <cfRule type="expression" dxfId="411" priority="77" stopIfTrue="1">
      <formula>ISBLANK(D1463)</formula>
    </cfRule>
    <cfRule type="cellIs" dxfId="410" priority="78" stopIfTrue="1" operator="equal">
      <formula>"Pasa"</formula>
    </cfRule>
    <cfRule type="cellIs" dxfId="409" priority="79" stopIfTrue="1" operator="equal">
      <formula>"Falla"</formula>
    </cfRule>
    <cfRule type="cellIs" dxfId="408" priority="80" stopIfTrue="1" operator="equal">
      <formula>"N/A"</formula>
    </cfRule>
    <cfRule type="cellIs" dxfId="407" priority="81" stopIfTrue="1" operator="equal">
      <formula>"N/T"</formula>
    </cfRule>
    <cfRule type="cellIs" dxfId="406" priority="82" stopIfTrue="1" operator="equal">
      <formula>"N/D"</formula>
    </cfRule>
  </conditionalFormatting>
  <conditionalFormatting sqref="D1463:D1497">
    <cfRule type="cellIs" dxfId="405" priority="76" stopIfTrue="1" operator="equal">
      <formula>"-"</formula>
    </cfRule>
  </conditionalFormatting>
  <conditionalFormatting sqref="D1501:D1535">
    <cfRule type="expression" dxfId="404" priority="70" stopIfTrue="1">
      <formula>ISBLANK(D1501)</formula>
    </cfRule>
    <cfRule type="cellIs" dxfId="403" priority="71" stopIfTrue="1" operator="equal">
      <formula>"Pasa"</formula>
    </cfRule>
    <cfRule type="cellIs" dxfId="402" priority="72" stopIfTrue="1" operator="equal">
      <formula>"Falla"</formula>
    </cfRule>
    <cfRule type="cellIs" dxfId="401" priority="73" stopIfTrue="1" operator="equal">
      <formula>"N/A"</formula>
    </cfRule>
    <cfRule type="cellIs" dxfId="400" priority="74" stopIfTrue="1" operator="equal">
      <formula>"N/T"</formula>
    </cfRule>
    <cfRule type="cellIs" dxfId="399" priority="75" stopIfTrue="1" operator="equal">
      <formula>"N/D"</formula>
    </cfRule>
  </conditionalFormatting>
  <conditionalFormatting sqref="D1501:D1535">
    <cfRule type="cellIs" dxfId="398" priority="69" stopIfTrue="1" operator="equal">
      <formula>"-"</formula>
    </cfRule>
  </conditionalFormatting>
  <conditionalFormatting sqref="D1539:D1573">
    <cfRule type="expression" dxfId="397" priority="63" stopIfTrue="1">
      <formula>ISBLANK(D1539)</formula>
    </cfRule>
    <cfRule type="cellIs" dxfId="396" priority="64" stopIfTrue="1" operator="equal">
      <formula>"Pasa"</formula>
    </cfRule>
    <cfRule type="cellIs" dxfId="395" priority="65" stopIfTrue="1" operator="equal">
      <formula>"Falla"</formula>
    </cfRule>
    <cfRule type="cellIs" dxfId="394" priority="66" stopIfTrue="1" operator="equal">
      <formula>"N/A"</formula>
    </cfRule>
    <cfRule type="cellIs" dxfId="393" priority="67" stopIfTrue="1" operator="equal">
      <formula>"N/T"</formula>
    </cfRule>
    <cfRule type="cellIs" dxfId="392" priority="68" stopIfTrue="1" operator="equal">
      <formula>"N/D"</formula>
    </cfRule>
  </conditionalFormatting>
  <conditionalFormatting sqref="D1539:D1573">
    <cfRule type="cellIs" dxfId="391" priority="62" stopIfTrue="1" operator="equal">
      <formula>"-"</formula>
    </cfRule>
  </conditionalFormatting>
  <conditionalFormatting sqref="D1577:D1611">
    <cfRule type="expression" dxfId="390" priority="56" stopIfTrue="1">
      <formula>ISBLANK(D1577)</formula>
    </cfRule>
    <cfRule type="cellIs" dxfId="389" priority="57" stopIfTrue="1" operator="equal">
      <formula>"Pasa"</formula>
    </cfRule>
    <cfRule type="cellIs" dxfId="388" priority="58" stopIfTrue="1" operator="equal">
      <formula>"Falla"</formula>
    </cfRule>
    <cfRule type="cellIs" dxfId="387" priority="59" stopIfTrue="1" operator="equal">
      <formula>"N/A"</formula>
    </cfRule>
    <cfRule type="cellIs" dxfId="386" priority="60" stopIfTrue="1" operator="equal">
      <formula>"N/T"</formula>
    </cfRule>
    <cfRule type="cellIs" dxfId="385" priority="61" stopIfTrue="1" operator="equal">
      <formula>"N/D"</formula>
    </cfRule>
  </conditionalFormatting>
  <conditionalFormatting sqref="D1577:D1611">
    <cfRule type="cellIs" dxfId="384" priority="55" stopIfTrue="1" operator="equal">
      <formula>"-"</formula>
    </cfRule>
  </conditionalFormatting>
  <conditionalFormatting sqref="D1615:D1649">
    <cfRule type="expression" dxfId="383" priority="49" stopIfTrue="1">
      <formula>ISBLANK(D1615)</formula>
    </cfRule>
    <cfRule type="cellIs" dxfId="382" priority="50" stopIfTrue="1" operator="equal">
      <formula>"Pasa"</formula>
    </cfRule>
    <cfRule type="cellIs" dxfId="381" priority="51" stopIfTrue="1" operator="equal">
      <formula>"Falla"</formula>
    </cfRule>
    <cfRule type="cellIs" dxfId="380" priority="52" stopIfTrue="1" operator="equal">
      <formula>"N/A"</formula>
    </cfRule>
    <cfRule type="cellIs" dxfId="379" priority="53" stopIfTrue="1" operator="equal">
      <formula>"N/T"</formula>
    </cfRule>
    <cfRule type="cellIs" dxfId="378" priority="54" stopIfTrue="1" operator="equal">
      <formula>"N/D"</formula>
    </cfRule>
  </conditionalFormatting>
  <conditionalFormatting sqref="D1615:D1649">
    <cfRule type="cellIs" dxfId="377" priority="48" stopIfTrue="1" operator="equal">
      <formula>"-"</formula>
    </cfRule>
  </conditionalFormatting>
  <conditionalFormatting sqref="D1653:D1687">
    <cfRule type="expression" dxfId="376" priority="42" stopIfTrue="1">
      <formula>ISBLANK(D1653)</formula>
    </cfRule>
    <cfRule type="cellIs" dxfId="375" priority="43" stopIfTrue="1" operator="equal">
      <formula>"Pasa"</formula>
    </cfRule>
    <cfRule type="cellIs" dxfId="374" priority="44" stopIfTrue="1" operator="equal">
      <formula>"Falla"</formula>
    </cfRule>
    <cfRule type="cellIs" dxfId="373" priority="45" stopIfTrue="1" operator="equal">
      <formula>"N/A"</formula>
    </cfRule>
    <cfRule type="cellIs" dxfId="372" priority="46" stopIfTrue="1" operator="equal">
      <formula>"N/T"</formula>
    </cfRule>
    <cfRule type="cellIs" dxfId="371" priority="47" stopIfTrue="1" operator="equal">
      <formula>"N/D"</formula>
    </cfRule>
  </conditionalFormatting>
  <conditionalFormatting sqref="D1653:D1687">
    <cfRule type="cellIs" dxfId="370" priority="41" stopIfTrue="1" operator="equal">
      <formula>"-"</formula>
    </cfRule>
  </conditionalFormatting>
  <conditionalFormatting sqref="E1691:E1725">
    <cfRule type="cellIs" dxfId="369" priority="26" stopIfTrue="1" operator="equal">
      <formula>"ERR"</formula>
    </cfRule>
  </conditionalFormatting>
  <conditionalFormatting sqref="D1691:D1725">
    <cfRule type="expression" dxfId="368" priority="14" stopIfTrue="1">
      <formula>ISBLANK(D1691)</formula>
    </cfRule>
    <cfRule type="cellIs" dxfId="367" priority="15" stopIfTrue="1" operator="equal">
      <formula>"Pasa"</formula>
    </cfRule>
    <cfRule type="cellIs" dxfId="366" priority="16" stopIfTrue="1" operator="equal">
      <formula>"Falla"</formula>
    </cfRule>
    <cfRule type="cellIs" dxfId="365" priority="17" stopIfTrue="1" operator="equal">
      <formula>"N/A"</formula>
    </cfRule>
    <cfRule type="cellIs" dxfId="364" priority="18" stopIfTrue="1" operator="equal">
      <formula>"N/T"</formula>
    </cfRule>
    <cfRule type="cellIs" dxfId="363" priority="19" stopIfTrue="1" operator="equal">
      <formula>"N/D"</formula>
    </cfRule>
  </conditionalFormatting>
  <conditionalFormatting sqref="D1691:D1725">
    <cfRule type="cellIs" dxfId="362" priority="13" stopIfTrue="1" operator="equal">
      <formula>"-"</formula>
    </cfRule>
  </conditionalFormatting>
  <conditionalFormatting sqref="K23">
    <cfRule type="expression" dxfId="361" priority="7" stopIfTrue="1">
      <formula>ISBLANK(K23)</formula>
    </cfRule>
    <cfRule type="cellIs" dxfId="360" priority="8" stopIfTrue="1" operator="equal">
      <formula>"Pasa"</formula>
    </cfRule>
    <cfRule type="cellIs" dxfId="359" priority="9" stopIfTrue="1" operator="equal">
      <formula>"Falla"</formula>
    </cfRule>
    <cfRule type="cellIs" dxfId="358" priority="10" stopIfTrue="1" operator="equal">
      <formula>"N/A"</formula>
    </cfRule>
    <cfRule type="cellIs" dxfId="357" priority="11" stopIfTrue="1" operator="equal">
      <formula>"N/T"</formula>
    </cfRule>
    <cfRule type="cellIs" dxfId="356" priority="12" stopIfTrue="1" operator="equal">
      <formula>"N/D"</formula>
    </cfRule>
  </conditionalFormatting>
  <conditionalFormatting sqref="K24">
    <cfRule type="expression" dxfId="355" priority="1" stopIfTrue="1">
      <formula>ISBLANK(K24)</formula>
    </cfRule>
    <cfRule type="cellIs" dxfId="354" priority="2" stopIfTrue="1" operator="equal">
      <formula>"Pasa"</formula>
    </cfRule>
    <cfRule type="cellIs" dxfId="353" priority="3" stopIfTrue="1" operator="equal">
      <formula>"Falla"</formula>
    </cfRule>
    <cfRule type="cellIs" dxfId="352" priority="4" stopIfTrue="1" operator="equal">
      <formula>"N/A"</formula>
    </cfRule>
    <cfRule type="cellIs" dxfId="351" priority="5" stopIfTrue="1" operator="equal">
      <formula>"N/T"</formula>
    </cfRule>
    <cfRule type="cellIs" dxfId="35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2026-06-25T06:22:57Z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MSIP_Label_ecb69475-382c-4c7a-b21d-8ca64eeef1bd_Enabled">
    <vt:lpwstr>true</vt:lpwstr>
  </property>
  <property fmtid="{D5CDD505-2E9C-101B-9397-08002B2CF9AE}" pid="10" name="MSIP_Label_ecb69475-382c-4c7a-b21d-8ca64eeef1bd_SetDate">
    <vt:lpwstr>2024-01-30T07:33:35Z</vt:lpwstr>
  </property>
  <property fmtid="{D5CDD505-2E9C-101B-9397-08002B2CF9AE}" pid="11" name="MSIP_Label_ecb69475-382c-4c7a-b21d-8ca64eeef1bd_Method">
    <vt:lpwstr>Standard</vt:lpwstr>
  </property>
  <property fmtid="{D5CDD505-2E9C-101B-9397-08002B2CF9AE}" pid="12" name="MSIP_Label_ecb69475-382c-4c7a-b21d-8ca64eeef1bd_Name">
    <vt:lpwstr>Eviden For Internal Use - All Employees</vt:lpwstr>
  </property>
  <property fmtid="{D5CDD505-2E9C-101B-9397-08002B2CF9AE}" pid="13" name="MSIP_Label_ecb69475-382c-4c7a-b21d-8ca64eeef1bd_SiteId">
    <vt:lpwstr>7d1c7785-2d8a-437d-b842-1ed5d8fbe00a</vt:lpwstr>
  </property>
  <property fmtid="{D5CDD505-2E9C-101B-9397-08002B2CF9AE}" pid="14" name="MSIP_Label_ecb69475-382c-4c7a-b21d-8ca64eeef1bd_ActionId">
    <vt:lpwstr>c808d2f8-2f95-44c6-bae1-e33b22a1b79f</vt:lpwstr>
  </property>
  <property fmtid="{D5CDD505-2E9C-101B-9397-08002B2CF9AE}" pid="15" name="MSIP_Label_ecb69475-382c-4c7a-b21d-8ca64eeef1bd_ContentBits">
    <vt:lpwstr>0</vt:lpwstr>
  </property>
</Properties>
</file>