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7" documentId="8_{FB487AA4-F999-4FE5-B34E-A36A6AB9D03D}" xr6:coauthVersionLast="47" xr6:coauthVersionMax="47" xr10:uidLastSave="{B178B28E-D1FA-44BB-9259-CD61C15A1F3D}"/>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D1889" i="22"/>
  <c r="E1889" i="22" s="1"/>
  <c r="E1887" i="22"/>
  <c r="E1885" i="22"/>
  <c r="E1884" i="22"/>
  <c r="E1883" i="22"/>
  <c r="E1882" i="22"/>
  <c r="E1888" i="22" l="1"/>
  <c r="D1892" i="22"/>
  <c r="E1892" i="22" s="1"/>
  <c r="D1896" i="22"/>
  <c r="E1896" i="22" s="1"/>
  <c r="D1900" i="22"/>
  <c r="E1900" i="22" s="1"/>
  <c r="D1904" i="22"/>
  <c r="E1904" i="22" s="1"/>
  <c r="D1908" i="22"/>
  <c r="E1908" i="22" s="1"/>
  <c r="D1912" i="22"/>
  <c r="E1912" i="22" s="1"/>
  <c r="E1886" i="22"/>
  <c r="D1890" i="22"/>
  <c r="E1890" i="22" s="1"/>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304" i="15" l="1"/>
  <c r="D157" i="14"/>
  <c r="D224" i="5"/>
  <c r="D238" i="5"/>
  <c r="CG20" i="9"/>
  <c r="DC3" i="19" s="1"/>
  <c r="D1165" i="21"/>
  <c r="D1253" i="22"/>
  <c r="D228" i="5"/>
  <c r="D139" i="21"/>
  <c r="D34" i="13"/>
  <c r="D198" i="18"/>
  <c r="D108" i="13"/>
  <c r="D308" i="15"/>
  <c r="D1249" i="22"/>
  <c r="D51" i="13"/>
  <c r="D66"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CG29" i="9" a="1"/>
  <c r="CG29" i="9" s="1"/>
  <c r="DC12"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141" i="5"/>
  <c r="D236" i="5"/>
  <c r="D240" i="5"/>
  <c r="D28" i="18"/>
  <c r="D32" i="18"/>
  <c r="D76" i="18"/>
  <c r="D127" i="18"/>
  <c r="T5" i="19"/>
  <c r="V5" i="19" s="1"/>
  <c r="T9" i="19"/>
  <c r="V9" i="19" s="1"/>
  <c r="CG42" i="9" a="1"/>
  <c r="CG42" i="9" s="1"/>
  <c r="DC25" i="19" s="1"/>
  <c r="T25" i="19"/>
  <c r="V25" i="19" s="1"/>
  <c r="T7" i="19"/>
  <c r="V7" i="19" s="1"/>
  <c r="CG28" i="9" a="1"/>
  <c r="CG28" i="9" s="1"/>
  <c r="DC11"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674"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129" i="22"/>
  <c r="D1358"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28" i="5"/>
  <c r="D47" i="5"/>
  <c r="D67" i="5"/>
  <c r="D89" i="5"/>
  <c r="D104" i="5"/>
  <c r="D108" i="5"/>
  <c r="D112" i="5"/>
  <c r="D143" i="5"/>
  <c r="D147" i="5"/>
  <c r="D151" i="5"/>
  <c r="D65" i="18"/>
  <c r="D294" i="15"/>
  <c r="D302" i="15"/>
  <c r="D306" i="15"/>
  <c r="D408" i="22"/>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04" i="13"/>
  <c r="D151" i="14"/>
  <c r="D143" i="14"/>
  <c r="D234" i="14"/>
  <c r="D490" i="14"/>
  <c r="D679" i="14"/>
  <c r="D44" i="15"/>
  <c r="D46" i="13"/>
  <c r="D74" i="13"/>
  <c r="D165" i="14"/>
  <c r="D243" i="14"/>
  <c r="D239" i="14"/>
  <c r="D235" i="14"/>
  <c r="D501" i="14"/>
  <c r="D497" i="14"/>
  <c r="D527" i="14"/>
  <c r="D686" i="14"/>
  <c r="D180" i="15"/>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56" i="15"/>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2"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04"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18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8" i="13"/>
  <c r="D29" i="13"/>
  <c r="D42" i="13"/>
  <c r="D47" i="13"/>
  <c r="D50" i="13"/>
  <c r="D159" i="14"/>
  <c r="D141" i="14"/>
  <c r="D394" i="14"/>
  <c r="D432" i="14"/>
  <c r="D428" i="14"/>
  <c r="D424" i="14"/>
  <c r="D420" i="14"/>
  <c r="D416" i="14"/>
  <c r="D505" i="14"/>
  <c r="D489" i="14"/>
  <c r="D535" i="14"/>
  <c r="D584" i="14"/>
  <c r="D579" i="14"/>
  <c r="D736" i="14"/>
  <c r="D66" i="15"/>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04"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092" i="22"/>
  <c r="D1134" i="22"/>
  <c r="D1180" i="22"/>
  <c r="D1299" i="22"/>
  <c r="D1294" i="22"/>
  <c r="D1331" i="22"/>
  <c r="D1362" i="22"/>
  <c r="D1357" i="22"/>
  <c r="D1415" i="22"/>
  <c r="D1408" i="22"/>
  <c r="D1403" i="22"/>
  <c r="D1402" i="22"/>
  <c r="D1493" i="22"/>
  <c r="D922" i="22"/>
  <c r="D918" i="22"/>
  <c r="D914" i="22"/>
  <c r="D964" i="22"/>
  <c r="D960" i="22"/>
  <c r="D1183" i="22"/>
  <c r="D1167"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5" i="5"/>
  <c r="D68" i="5"/>
  <c r="D82" i="5"/>
  <c r="D90" i="5"/>
  <c r="D106" i="5"/>
  <c r="D107" i="5"/>
  <c r="D115" i="5"/>
  <c r="D123" i="5"/>
  <c r="D220" i="5"/>
  <c r="D226" i="5"/>
  <c r="D234" i="5"/>
  <c r="D242" i="5"/>
  <c r="D184" i="15"/>
  <c r="D296" i="15"/>
  <c r="D31" i="15"/>
  <c r="D51" i="15"/>
  <c r="D87" i="15"/>
  <c r="D90" i="15"/>
  <c r="D103" i="15"/>
  <c r="D119" i="15"/>
  <c r="D149" i="15"/>
  <c r="D165" i="15"/>
  <c r="D187" i="15"/>
  <c r="D191" i="15"/>
  <c r="D194" i="15"/>
  <c r="D263" i="15"/>
  <c r="D265" i="15"/>
  <c r="D273" i="15"/>
  <c r="D274" i="15"/>
  <c r="D280" i="15"/>
  <c r="D303" i="15"/>
  <c r="D309" i="15"/>
  <c r="D315" i="15"/>
  <c r="D331" i="15"/>
  <c r="D340" i="15"/>
  <c r="D341" i="15"/>
  <c r="D346" i="15"/>
  <c r="D353" i="15"/>
  <c r="D41" i="22"/>
  <c r="D33" i="22"/>
  <c r="D27" i="13"/>
  <c r="D36" i="13"/>
  <c r="D37" i="13"/>
  <c r="D38" i="13"/>
  <c r="D39" i="13"/>
  <c r="D40" i="13"/>
  <c r="D115" i="13"/>
  <c r="D116" i="13"/>
  <c r="D119" i="13"/>
  <c r="D120" i="13"/>
  <c r="D122" i="13"/>
  <c r="D49" i="14"/>
  <c r="D41" i="14"/>
  <c r="D33" i="14"/>
  <c r="D124" i="14"/>
  <c r="D116" i="14"/>
  <c r="D108" i="14"/>
  <c r="D163" i="14"/>
  <c r="D153" i="14"/>
  <c r="D147" i="14"/>
  <c r="D240" i="14"/>
  <c r="D279" i="14"/>
  <c r="D271" i="14"/>
  <c r="D263" i="14"/>
  <c r="D255"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3" i="13"/>
  <c r="D107" i="13"/>
  <c r="D111" i="13"/>
  <c r="D27" i="14"/>
  <c r="D448" i="14"/>
  <c r="D502" i="14"/>
  <c r="D494" i="14"/>
  <c r="D576" i="14"/>
  <c r="D571" i="14"/>
  <c r="D619" i="14"/>
  <c r="D611" i="14"/>
  <c r="D603" i="14"/>
  <c r="D733" i="14"/>
  <c r="D28" i="15"/>
  <c r="D35" i="15"/>
  <c r="D37" i="15"/>
  <c r="D38" i="15"/>
  <c r="D42" i="15"/>
  <c r="D43" i="15"/>
  <c r="D65" i="15"/>
  <c r="D82" i="15"/>
  <c r="D107" i="15"/>
  <c r="D123" i="15"/>
  <c r="D141" i="15"/>
  <c r="D142" i="15"/>
  <c r="D153" i="15"/>
  <c r="D156" i="15"/>
  <c r="D157" i="15"/>
  <c r="D158" i="15"/>
  <c r="D179" i="15"/>
  <c r="D188" i="15"/>
  <c r="D192" i="15"/>
  <c r="D198" i="15"/>
  <c r="D201" i="15"/>
  <c r="D202" i="15"/>
  <c r="D223" i="15"/>
  <c r="D239" i="15"/>
  <c r="D255" i="15"/>
  <c r="D257" i="15"/>
  <c r="D258" i="15"/>
  <c r="D260" i="15"/>
  <c r="D270" i="15"/>
  <c r="D277" i="15"/>
  <c r="D278" i="15"/>
  <c r="D293" i="15"/>
  <c r="D299" i="15"/>
  <c r="D300" i="15"/>
  <c r="D305" i="15"/>
  <c r="D311" i="15"/>
  <c r="D312" i="15"/>
  <c r="D313" i="15"/>
  <c r="D319" i="15"/>
  <c r="D334" i="15"/>
  <c r="D335" i="15"/>
  <c r="D343" i="15"/>
  <c r="D344" i="15"/>
  <c r="D31" i="13"/>
  <c r="D32" i="13"/>
  <c r="D65"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217" i="14"/>
  <c r="D388" i="14"/>
  <c r="D369" i="14"/>
  <c r="D427" i="14"/>
  <c r="D419" i="14"/>
  <c r="D487" i="14"/>
  <c r="D542" i="14"/>
  <c r="D541" i="14"/>
  <c r="D526" i="14"/>
  <c r="D583" i="14"/>
  <c r="D572" i="14"/>
  <c r="D567" i="14"/>
  <c r="D658" i="14"/>
  <c r="D650" i="14"/>
  <c r="D642" i="14"/>
  <c r="D27" i="15"/>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7" i="15"/>
  <c r="D218"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03" i="22"/>
  <c r="D162" i="22"/>
  <c r="D161" i="22"/>
  <c r="D154" i="22"/>
  <c r="D153" i="22"/>
  <c r="D146" i="22"/>
  <c r="D145" i="22"/>
  <c r="D203" i="22"/>
  <c r="D195" i="22"/>
  <c r="D187" i="22"/>
  <c r="D179" i="22"/>
  <c r="D238" i="22"/>
  <c r="D230" i="22"/>
  <c r="D222" i="22"/>
  <c r="D357" i="22"/>
  <c r="D349" i="22"/>
  <c r="D341" i="22"/>
  <c r="D333" i="22"/>
  <c r="D459" i="22"/>
  <c r="D496" i="22"/>
  <c r="D488" i="22"/>
  <c r="D528" i="22"/>
  <c r="D559"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217" i="22"/>
  <c r="D353" i="22"/>
  <c r="D345" i="22"/>
  <c r="D337" i="22"/>
  <c r="D465" i="22"/>
  <c r="D455" i="22"/>
  <c r="D491" i="22"/>
  <c r="D483" i="22"/>
  <c r="D562" i="22"/>
  <c r="D621" i="22"/>
  <c r="D613" i="22"/>
  <c r="D605" i="22"/>
  <c r="D768" i="22"/>
  <c r="D795" i="22"/>
  <c r="D787" i="22"/>
  <c r="D1284" i="22"/>
  <c r="D1339" i="22"/>
  <c r="D1483" i="22"/>
  <c r="D1566" i="22"/>
  <c r="D1558" i="22"/>
  <c r="D1547" i="22"/>
  <c r="D1687" i="22"/>
  <c r="D1672" i="22"/>
  <c r="D1758" i="22"/>
  <c r="D1798" i="22"/>
  <c r="D1875" i="22"/>
  <c r="D1859" i="22"/>
  <c r="D26" i="21"/>
  <c r="D27" i="21"/>
  <c r="D33" i="21"/>
  <c r="D40" i="21"/>
  <c r="D43" i="21"/>
  <c r="D45" i="21"/>
  <c r="D58" i="21"/>
  <c r="D956" i="22"/>
  <c r="D955" i="22"/>
  <c r="D997" i="22"/>
  <c r="D985" i="22"/>
  <c r="D977" i="22"/>
  <c r="D1040" i="22"/>
  <c r="D1024" i="22"/>
  <c r="D1058" i="22"/>
  <c r="D1114" i="22"/>
  <c r="D1113" i="22"/>
  <c r="D1154" i="22"/>
  <c r="D1146" i="22"/>
  <c r="D1138" i="22"/>
  <c r="D1130" i="22"/>
  <c r="D1192" i="22"/>
  <c r="D1184" i="22"/>
  <c r="D1176" i="22"/>
  <c r="D1168" i="22"/>
  <c r="D1414" i="22"/>
  <c r="D1398" i="22"/>
  <c r="D1437" i="22"/>
  <c r="D1661"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978" i="22"/>
  <c r="D1036" i="22"/>
  <c r="D1020" i="22"/>
  <c r="D1054" i="22"/>
  <c r="D1104" i="22"/>
  <c r="D1098" i="22"/>
  <c r="D1097" i="22"/>
  <c r="D1149" i="22"/>
  <c r="D1141" i="22"/>
  <c r="D1133" i="22"/>
  <c r="D1187" i="22"/>
  <c r="D1179" i="22"/>
  <c r="D1171" i="22"/>
  <c r="D1261" i="22"/>
  <c r="D1245" i="22"/>
  <c r="D1342" i="22"/>
  <c r="D1335" i="22"/>
  <c r="D1328" i="22"/>
  <c r="D1327" i="22"/>
  <c r="D1320" i="22"/>
  <c r="D1319" i="22"/>
  <c r="D1364" i="22"/>
  <c r="D1419" i="22"/>
  <c r="D1416" i="22"/>
  <c r="D1405" i="22"/>
  <c r="D139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6" i="5"/>
  <c r="D69" i="5"/>
  <c r="D78" i="5"/>
  <c r="D109" i="5"/>
  <c r="D117" i="5"/>
  <c r="D125" i="5"/>
  <c r="D145" i="5"/>
  <c r="D146" i="5"/>
  <c r="D153" i="5"/>
  <c r="D181" i="5"/>
  <c r="D182" i="5"/>
  <c r="D189" i="5"/>
  <c r="D190" i="5"/>
  <c r="D197" i="5"/>
  <c r="D219" i="5"/>
  <c r="D68" i="18"/>
  <c r="D1496" i="21"/>
  <c r="D1526" i="21"/>
  <c r="D1540" i="21"/>
  <c r="D114" i="5"/>
  <c r="D122" i="5"/>
  <c r="D142" i="5"/>
  <c r="D159" i="5"/>
  <c r="D163" i="5"/>
  <c r="D167" i="5"/>
  <c r="D179" i="5"/>
  <c r="D187" i="5"/>
  <c r="D195" i="5"/>
  <c r="D1480" i="21"/>
  <c r="D1641" i="21"/>
  <c r="D1649" i="21"/>
  <c r="D1655" i="21"/>
  <c r="D1663" i="21"/>
  <c r="D1667" i="21"/>
  <c r="D1673" i="21"/>
  <c r="D1678" i="21"/>
  <c r="D1683" i="21"/>
  <c r="D1692" i="21"/>
  <c r="E1692" i="21" s="1"/>
  <c r="D1694" i="21"/>
  <c r="D1703" i="21"/>
  <c r="D1706" i="21"/>
  <c r="D1712" i="21"/>
  <c r="D1715" i="21"/>
  <c r="D1724" i="21"/>
  <c r="D27" i="5"/>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217" i="5"/>
  <c r="D218" i="5"/>
  <c r="D27" i="18"/>
  <c r="D36" i="18"/>
  <c r="D39" i="18"/>
  <c r="D42" i="18"/>
  <c r="D52" i="18"/>
  <c r="D71" i="18"/>
  <c r="D74" i="18"/>
  <c r="D77" i="18"/>
  <c r="D87" i="18"/>
  <c r="D90" i="18"/>
  <c r="D108" i="18"/>
  <c r="D111" i="18"/>
  <c r="D115" i="18"/>
  <c r="D141" i="18"/>
  <c r="D142"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D711"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483" i="14"/>
  <c r="D545" i="14"/>
  <c r="D537" i="14"/>
  <c r="D529" i="14"/>
  <c r="D521" i="14"/>
  <c r="D559" i="14"/>
  <c r="D621" i="14"/>
  <c r="D613" i="14"/>
  <c r="D605" i="14"/>
  <c r="D597"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28" i="9" a="1"/>
  <c r="CR28" i="9" s="1"/>
  <c r="CN28" i="9" a="1"/>
  <c r="CN28" i="9" s="1"/>
  <c r="CJ28" i="9" a="1"/>
  <c r="CJ28" i="9" s="1"/>
  <c r="CE28" i="9" a="1"/>
  <c r="CE28" i="9" s="1"/>
  <c r="CA28" i="9" a="1"/>
  <c r="CA28" i="9" s="1"/>
  <c r="BW28" i="9" a="1"/>
  <c r="BW28" i="9" s="1"/>
  <c r="BS28" i="9" a="1"/>
  <c r="BS28" i="9" s="1"/>
  <c r="BO28" i="9" a="1"/>
  <c r="BO28" i="9" s="1"/>
  <c r="BK28" i="9" a="1"/>
  <c r="BK28" i="9" s="1"/>
  <c r="BG28" i="9" a="1"/>
  <c r="BG28" i="9" s="1"/>
  <c r="BC28" i="9" a="1"/>
  <c r="BC28" i="9" s="1"/>
  <c r="AY28" i="9" a="1"/>
  <c r="AY28" i="9" s="1"/>
  <c r="AU28" i="9" a="1"/>
  <c r="AU28" i="9" s="1"/>
  <c r="AQ28" i="9" a="1"/>
  <c r="AQ28" i="9" s="1"/>
  <c r="AM28" i="9" a="1"/>
  <c r="AM28" i="9" s="1"/>
  <c r="AI28" i="9" a="1"/>
  <c r="AI28" i="9" s="1"/>
  <c r="AE28" i="9" a="1"/>
  <c r="AE28" i="9" s="1"/>
  <c r="AA28" i="9" a="1"/>
  <c r="AA28" i="9" s="1"/>
  <c r="W28" i="9" a="1"/>
  <c r="W28" i="9" s="1"/>
  <c r="S28" i="9" a="1"/>
  <c r="S28" i="9" s="1"/>
  <c r="O28" i="9" a="1"/>
  <c r="O28" i="9" s="1"/>
  <c r="K28" i="9" a="1"/>
  <c r="K28" i="9" s="1"/>
  <c r="G28" i="9" a="1"/>
  <c r="G28" i="9" s="1"/>
  <c r="CQ28" i="9" a="1"/>
  <c r="CQ28" i="9" s="1"/>
  <c r="CM28" i="9" a="1"/>
  <c r="CM28" i="9" s="1"/>
  <c r="CI28" i="9" a="1"/>
  <c r="CI28" i="9" s="1"/>
  <c r="CD28" i="9" a="1"/>
  <c r="CD28" i="9" s="1"/>
  <c r="BZ28" i="9" a="1"/>
  <c r="BZ28" i="9" s="1"/>
  <c r="BV28" i="9" a="1"/>
  <c r="BV28" i="9" s="1"/>
  <c r="BR28" i="9" a="1"/>
  <c r="BR28" i="9" s="1"/>
  <c r="BN28" i="9" a="1"/>
  <c r="BN28" i="9" s="1"/>
  <c r="BJ28" i="9" a="1"/>
  <c r="BJ28" i="9" s="1"/>
  <c r="BF28" i="9" a="1"/>
  <c r="BF28" i="9" s="1"/>
  <c r="BB28" i="9" a="1"/>
  <c r="BB28" i="9" s="1"/>
  <c r="AX28" i="9" a="1"/>
  <c r="AX28" i="9" s="1"/>
  <c r="AT28" i="9" a="1"/>
  <c r="AT28" i="9" s="1"/>
  <c r="AP28" i="9" a="1"/>
  <c r="AP28" i="9" s="1"/>
  <c r="AL28" i="9" a="1"/>
  <c r="AL28" i="9" s="1"/>
  <c r="AH28" i="9" a="1"/>
  <c r="AH28" i="9" s="1"/>
  <c r="AD28" i="9" a="1"/>
  <c r="AD28" i="9" s="1"/>
  <c r="Z28" i="9" a="1"/>
  <c r="Z28" i="9" s="1"/>
  <c r="V28" i="9" a="1"/>
  <c r="V28" i="9" s="1"/>
  <c r="R28" i="9" a="1"/>
  <c r="R28" i="9" s="1"/>
  <c r="N28" i="9" a="1"/>
  <c r="N28" i="9" s="1"/>
  <c r="J28" i="9" a="1"/>
  <c r="J28" i="9" s="1"/>
  <c r="F28" i="9" a="1"/>
  <c r="F28" i="9" s="1"/>
  <c r="CK28" i="9" a="1"/>
  <c r="CK28" i="9" s="1"/>
  <c r="CB28" i="9" a="1"/>
  <c r="CB28" i="9" s="1"/>
  <c r="BT28" i="9" a="1"/>
  <c r="BT28" i="9" s="1"/>
  <c r="BL28" i="9" a="1"/>
  <c r="BL28" i="9" s="1"/>
  <c r="BD28" i="9" a="1"/>
  <c r="BD28" i="9" s="1"/>
  <c r="AV28" i="9" a="1"/>
  <c r="AV28" i="9" s="1"/>
  <c r="AN28" i="9" a="1"/>
  <c r="AN28" i="9" s="1"/>
  <c r="AF28" i="9" a="1"/>
  <c r="AF28" i="9" s="1"/>
  <c r="X28" i="9" a="1"/>
  <c r="X28" i="9" s="1"/>
  <c r="P28" i="9" a="1"/>
  <c r="P28" i="9" s="1"/>
  <c r="H28" i="9" a="1"/>
  <c r="H28" i="9" s="1"/>
  <c r="CP28" i="9" a="1"/>
  <c r="CP28" i="9" s="1"/>
  <c r="CH28" i="9" a="1"/>
  <c r="CH28" i="9" s="1"/>
  <c r="BY28" i="9" a="1"/>
  <c r="BY28" i="9" s="1"/>
  <c r="BQ28" i="9" a="1"/>
  <c r="BQ28" i="9" s="1"/>
  <c r="BI28" i="9" a="1"/>
  <c r="BI28" i="9" s="1"/>
  <c r="BA28" i="9" a="1"/>
  <c r="BA28" i="9" s="1"/>
  <c r="AS28" i="9" a="1"/>
  <c r="AS28" i="9" s="1"/>
  <c r="AK28" i="9" a="1"/>
  <c r="AK28" i="9" s="1"/>
  <c r="AC28" i="9" a="1"/>
  <c r="AC28" i="9" s="1"/>
  <c r="U28" i="9" a="1"/>
  <c r="U28" i="9" s="1"/>
  <c r="M28" i="9" a="1"/>
  <c r="M28" i="9" s="1"/>
  <c r="E28" i="9" a="1"/>
  <c r="E28" i="9" s="1"/>
  <c r="CO28" i="9" a="1"/>
  <c r="CO28" i="9" s="1"/>
  <c r="CF28" i="9" a="1"/>
  <c r="CF28" i="9" s="1"/>
  <c r="BX28" i="9" a="1"/>
  <c r="BX28" i="9" s="1"/>
  <c r="BP28" i="9" a="1"/>
  <c r="BP28" i="9" s="1"/>
  <c r="BH28" i="9" a="1"/>
  <c r="BH28" i="9" s="1"/>
  <c r="AZ28" i="9" a="1"/>
  <c r="AZ28" i="9" s="1"/>
  <c r="AR28" i="9" a="1"/>
  <c r="AR28" i="9" s="1"/>
  <c r="AJ28" i="9" a="1"/>
  <c r="AJ28" i="9" s="1"/>
  <c r="AB28" i="9" a="1"/>
  <c r="AB28" i="9" s="1"/>
  <c r="T28" i="9" a="1"/>
  <c r="T28" i="9" s="1"/>
  <c r="L28" i="9" a="1"/>
  <c r="L28" i="9" s="1"/>
  <c r="CL28" i="9" a="1"/>
  <c r="CL28" i="9" s="1"/>
  <c r="CC28" i="9" a="1"/>
  <c r="CC28" i="9" s="1"/>
  <c r="BU28" i="9" a="1"/>
  <c r="BU28" i="9" s="1"/>
  <c r="BM28" i="9" a="1"/>
  <c r="BM28" i="9" s="1"/>
  <c r="BE28" i="9" a="1"/>
  <c r="BE28" i="9" s="1"/>
  <c r="AW28" i="9" a="1"/>
  <c r="AW28" i="9" s="1"/>
  <c r="AO28" i="9" a="1"/>
  <c r="AO28" i="9" s="1"/>
  <c r="AG28" i="9" a="1"/>
  <c r="AG28" i="9" s="1"/>
  <c r="Y28" i="9" a="1"/>
  <c r="Y28" i="9" s="1"/>
  <c r="Q28" i="9" a="1"/>
  <c r="Q28" i="9" s="1"/>
  <c r="I28" i="9" a="1"/>
  <c r="I28"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445"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179"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29" i="9" a="1"/>
  <c r="CO29" i="9" s="1"/>
  <c r="CK29" i="9" a="1"/>
  <c r="CK29" i="9" s="1"/>
  <c r="CF29" i="9" a="1"/>
  <c r="CF29" i="9" s="1"/>
  <c r="CB29" i="9" a="1"/>
  <c r="CB29" i="9" s="1"/>
  <c r="BX29" i="9" a="1"/>
  <c r="BX29" i="9" s="1"/>
  <c r="BT29" i="9" a="1"/>
  <c r="BT29" i="9" s="1"/>
  <c r="BP29" i="9" a="1"/>
  <c r="BP29" i="9" s="1"/>
  <c r="BL29" i="9" a="1"/>
  <c r="BL29" i="9" s="1"/>
  <c r="BH29" i="9" a="1"/>
  <c r="BH29" i="9" s="1"/>
  <c r="BD29" i="9" a="1"/>
  <c r="BD29" i="9" s="1"/>
  <c r="AZ29" i="9" a="1"/>
  <c r="AZ29" i="9" s="1"/>
  <c r="AV29" i="9" a="1"/>
  <c r="AV29" i="9" s="1"/>
  <c r="AR29" i="9" a="1"/>
  <c r="AR29" i="9" s="1"/>
  <c r="AN29" i="9" a="1"/>
  <c r="AN29" i="9" s="1"/>
  <c r="AJ29" i="9" a="1"/>
  <c r="AJ29" i="9" s="1"/>
  <c r="AF29" i="9" a="1"/>
  <c r="AF29" i="9" s="1"/>
  <c r="AB29" i="9" a="1"/>
  <c r="AB29" i="9" s="1"/>
  <c r="X29" i="9" a="1"/>
  <c r="X29" i="9" s="1"/>
  <c r="T29" i="9" a="1"/>
  <c r="T29" i="9" s="1"/>
  <c r="P29" i="9" a="1"/>
  <c r="P29" i="9" s="1"/>
  <c r="L29" i="9" a="1"/>
  <c r="L29" i="9" s="1"/>
  <c r="H29" i="9" a="1"/>
  <c r="H29" i="9" s="1"/>
  <c r="CR29" i="9" a="1"/>
  <c r="CR29" i="9" s="1"/>
  <c r="CN29" i="9" a="1"/>
  <c r="CN29" i="9" s="1"/>
  <c r="CJ29" i="9" a="1"/>
  <c r="CJ29" i="9" s="1"/>
  <c r="CE29" i="9" a="1"/>
  <c r="CE29" i="9" s="1"/>
  <c r="CA29" i="9" a="1"/>
  <c r="CA29" i="9" s="1"/>
  <c r="BW29" i="9" a="1"/>
  <c r="BW29" i="9" s="1"/>
  <c r="BS29" i="9" a="1"/>
  <c r="BS29" i="9" s="1"/>
  <c r="BO29" i="9" a="1"/>
  <c r="BO29" i="9" s="1"/>
  <c r="BK29" i="9" a="1"/>
  <c r="BK29" i="9" s="1"/>
  <c r="BG29" i="9" a="1"/>
  <c r="BG29" i="9" s="1"/>
  <c r="BC29" i="9" a="1"/>
  <c r="BC29" i="9" s="1"/>
  <c r="AY29" i="9" a="1"/>
  <c r="AY29" i="9" s="1"/>
  <c r="AU29" i="9" a="1"/>
  <c r="AU29" i="9" s="1"/>
  <c r="AQ29" i="9" a="1"/>
  <c r="AQ29" i="9" s="1"/>
  <c r="AM29" i="9" a="1"/>
  <c r="AM29" i="9" s="1"/>
  <c r="AI29" i="9" a="1"/>
  <c r="AI29" i="9" s="1"/>
  <c r="AE29" i="9" a="1"/>
  <c r="AE29" i="9" s="1"/>
  <c r="AA29" i="9" a="1"/>
  <c r="AA29" i="9" s="1"/>
  <c r="W29" i="9" a="1"/>
  <c r="W29" i="9" s="1"/>
  <c r="S29" i="9" a="1"/>
  <c r="S29" i="9" s="1"/>
  <c r="O29" i="9" a="1"/>
  <c r="O29" i="9" s="1"/>
  <c r="K29" i="9" a="1"/>
  <c r="K29" i="9" s="1"/>
  <c r="G29" i="9" a="1"/>
  <c r="G29" i="9" s="1"/>
  <c r="CP29" i="9" a="1"/>
  <c r="CP29" i="9" s="1"/>
  <c r="CH29" i="9" a="1"/>
  <c r="CH29" i="9" s="1"/>
  <c r="BY29" i="9" a="1"/>
  <c r="BY29" i="9" s="1"/>
  <c r="BQ29" i="9" a="1"/>
  <c r="BQ29" i="9" s="1"/>
  <c r="BI29" i="9" a="1"/>
  <c r="BI29" i="9" s="1"/>
  <c r="BA29" i="9" a="1"/>
  <c r="BA29" i="9" s="1"/>
  <c r="AS29" i="9" a="1"/>
  <c r="AS29" i="9" s="1"/>
  <c r="AK29" i="9" a="1"/>
  <c r="AK29" i="9" s="1"/>
  <c r="AC29" i="9" a="1"/>
  <c r="AC29" i="9" s="1"/>
  <c r="U29" i="9" a="1"/>
  <c r="U29" i="9" s="1"/>
  <c r="M29" i="9" a="1"/>
  <c r="M29" i="9" s="1"/>
  <c r="E29" i="9" a="1"/>
  <c r="E29" i="9" s="1"/>
  <c r="CM29" i="9" a="1"/>
  <c r="CM29" i="9" s="1"/>
  <c r="CD29" i="9" a="1"/>
  <c r="CD29" i="9" s="1"/>
  <c r="BV29" i="9" a="1"/>
  <c r="BV29" i="9" s="1"/>
  <c r="BN29" i="9" a="1"/>
  <c r="BN29" i="9" s="1"/>
  <c r="BF29" i="9" a="1"/>
  <c r="BF29" i="9" s="1"/>
  <c r="AX29" i="9" a="1"/>
  <c r="AX29" i="9" s="1"/>
  <c r="AP29" i="9" a="1"/>
  <c r="AP29" i="9" s="1"/>
  <c r="AH29" i="9" a="1"/>
  <c r="AH29" i="9" s="1"/>
  <c r="Z29" i="9" a="1"/>
  <c r="Z29" i="9" s="1"/>
  <c r="R29" i="9" a="1"/>
  <c r="R29" i="9" s="1"/>
  <c r="J29" i="9" a="1"/>
  <c r="J29" i="9" s="1"/>
  <c r="CL29" i="9" a="1"/>
  <c r="CL29" i="9" s="1"/>
  <c r="CC29" i="9" a="1"/>
  <c r="CC29" i="9" s="1"/>
  <c r="BU29" i="9" a="1"/>
  <c r="BU29" i="9" s="1"/>
  <c r="BM29" i="9" a="1"/>
  <c r="BM29" i="9" s="1"/>
  <c r="BE29" i="9" a="1"/>
  <c r="BE29" i="9" s="1"/>
  <c r="AW29" i="9" a="1"/>
  <c r="AW29" i="9" s="1"/>
  <c r="AO29" i="9" a="1"/>
  <c r="AO29" i="9" s="1"/>
  <c r="AG29" i="9" a="1"/>
  <c r="AG29" i="9" s="1"/>
  <c r="Y29" i="9" a="1"/>
  <c r="Y29" i="9" s="1"/>
  <c r="Q29" i="9" a="1"/>
  <c r="Q29" i="9" s="1"/>
  <c r="I29" i="9" a="1"/>
  <c r="I29" i="9" s="1"/>
  <c r="CQ29" i="9" a="1"/>
  <c r="CQ29" i="9" s="1"/>
  <c r="CI29" i="9" a="1"/>
  <c r="CI29" i="9" s="1"/>
  <c r="BZ29" i="9" a="1"/>
  <c r="BZ29" i="9" s="1"/>
  <c r="BR29" i="9" a="1"/>
  <c r="BR29" i="9" s="1"/>
  <c r="BJ29" i="9" a="1"/>
  <c r="BJ29" i="9" s="1"/>
  <c r="BB29" i="9" a="1"/>
  <c r="BB29" i="9" s="1"/>
  <c r="AT29" i="9" a="1"/>
  <c r="AT29" i="9" s="1"/>
  <c r="AL29" i="9" a="1"/>
  <c r="AL29" i="9" s="1"/>
  <c r="AD29" i="9" a="1"/>
  <c r="AD29" i="9" s="1"/>
  <c r="V29" i="9" a="1"/>
  <c r="V29" i="9" s="1"/>
  <c r="N29" i="9" a="1"/>
  <c r="N29" i="9" s="1"/>
  <c r="F29" i="9" a="1"/>
  <c r="F29" i="9" s="1"/>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103" i="14"/>
  <c r="D202" i="14"/>
  <c r="D194" i="14"/>
  <c r="D186" i="14"/>
  <c r="D228" i="14"/>
  <c r="D220" i="14"/>
  <c r="D274" i="14"/>
  <c r="D266" i="14"/>
  <c r="D258" i="14"/>
  <c r="D319" i="14"/>
  <c r="D316" i="14"/>
  <c r="D315" i="14"/>
  <c r="D312" i="14"/>
  <c r="D311" i="14"/>
  <c r="D308" i="14"/>
  <c r="D307" i="14"/>
  <c r="D304" i="14"/>
  <c r="D303" i="14"/>
  <c r="D300" i="14"/>
  <c r="D299" i="14"/>
  <c r="D296" i="14"/>
  <c r="D295" i="14"/>
  <c r="D293"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07"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749" i="22"/>
  <c r="D811" i="22"/>
  <c r="D809" i="22"/>
  <c r="D799" i="22"/>
  <c r="D791" i="22"/>
  <c r="D887" i="22"/>
  <c r="D879" i="22"/>
  <c r="D871" i="22"/>
  <c r="D863"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05" i="22"/>
  <c r="D1295" i="22"/>
  <c r="D1289" i="22"/>
  <c r="D1281" i="22"/>
  <c r="D1338" i="22"/>
  <c r="D1334" i="22"/>
  <c r="D1330" i="22"/>
  <c r="D1326" i="22"/>
  <c r="D1322" i="22"/>
  <c r="D1360" i="22"/>
  <c r="D1436" i="22"/>
  <c r="D1490" i="22"/>
  <c r="D1482" i="22"/>
  <c r="D1532" i="22"/>
  <c r="D1528" i="22"/>
  <c r="D1524" i="22"/>
  <c r="D1520" i="22"/>
  <c r="D1517" i="22"/>
  <c r="D1509" i="22"/>
  <c r="D1555" i="22"/>
  <c r="D1588" i="22"/>
  <c r="D1646" i="22"/>
  <c r="D1642" i="22"/>
  <c r="D1638" i="22"/>
  <c r="D1634" i="22"/>
  <c r="D1630" i="22"/>
  <c r="D1626" i="22"/>
  <c r="D1677" i="22"/>
  <c r="D1669" i="22"/>
  <c r="D1756" i="22"/>
  <c r="D1745" i="22"/>
  <c r="D1737" i="22"/>
  <c r="D1790" i="22"/>
  <c r="D1789" i="22"/>
  <c r="D1786" i="22"/>
  <c r="D1785" i="22"/>
  <c r="D1782" i="22"/>
  <c r="D1781" i="22"/>
  <c r="D1779" i="22"/>
  <c r="D1838" i="22"/>
  <c r="D1837" i="22"/>
  <c r="D1834" i="22"/>
  <c r="D1833" i="22"/>
  <c r="D1830" i="22"/>
  <c r="D1829" i="22"/>
  <c r="D1826" i="22"/>
  <c r="D1825" i="22"/>
  <c r="D1822" i="22"/>
  <c r="D1821" i="22"/>
  <c r="D1818" i="22"/>
  <c r="D1817" i="22"/>
  <c r="D1814" i="22"/>
  <c r="D1813" i="22"/>
  <c r="D1874" i="22"/>
  <c r="D1872" i="22"/>
  <c r="D1866" i="22"/>
  <c r="D1858" i="22"/>
  <c r="D38" i="22"/>
  <c r="D30" i="22"/>
  <c r="D84" i="22"/>
  <c r="D76" i="22"/>
  <c r="D72" i="22"/>
  <c r="D68" i="22"/>
  <c r="D119" i="22"/>
  <c r="D110" i="22"/>
  <c r="D163" i="22"/>
  <c r="D157" i="22"/>
  <c r="D149" i="22"/>
  <c r="D141"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597" i="22"/>
  <c r="D659" i="22"/>
  <c r="D651" i="22"/>
  <c r="D643" i="22"/>
  <c r="D635" i="22"/>
  <c r="D697" i="22"/>
  <c r="D689" i="22"/>
  <c r="D681" i="22"/>
  <c r="D673" i="22"/>
  <c r="D735" i="22"/>
  <c r="D727" i="22"/>
  <c r="D719" i="22"/>
  <c r="D711" i="22"/>
  <c r="D769" i="22"/>
  <c r="D810" i="22"/>
  <c r="D798" i="22"/>
  <c r="D790" i="22"/>
  <c r="D851" i="22"/>
  <c r="D848" i="22"/>
  <c r="D847" i="22"/>
  <c r="D844" i="22"/>
  <c r="D843" i="22"/>
  <c r="D840" i="22"/>
  <c r="D839" i="22"/>
  <c r="D836" i="22"/>
  <c r="D835" i="22"/>
  <c r="D832" i="22"/>
  <c r="D831" i="22"/>
  <c r="D828" i="22"/>
  <c r="D827" i="22"/>
  <c r="D886" i="22"/>
  <c r="D878" i="22"/>
  <c r="D870" i="22"/>
  <c r="D901" i="22"/>
  <c r="D939"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33" i="22"/>
  <c r="D1495" i="22"/>
  <c r="D1487" i="22"/>
  <c r="D1478" i="22"/>
  <c r="D1474" i="22"/>
  <c r="D1471" i="22"/>
  <c r="D1516" i="22"/>
  <c r="D1515" i="22"/>
  <c r="D1514" i="22"/>
  <c r="D1554" i="22"/>
  <c r="D1551" i="22"/>
  <c r="D1610" i="22"/>
  <c r="D1609" i="22"/>
  <c r="D1606" i="22"/>
  <c r="D1605" i="22"/>
  <c r="D1602" i="22"/>
  <c r="D1601" i="22"/>
  <c r="D1598" i="22"/>
  <c r="D1597" i="22"/>
  <c r="D1594" i="22"/>
  <c r="D1593" i="22"/>
  <c r="D1585" i="22"/>
  <c r="D162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27"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255" i="22"/>
  <c r="D317" i="22"/>
  <c r="D309" i="22"/>
  <c r="D301" i="22"/>
  <c r="D293" i="22"/>
  <c r="D372" i="22"/>
  <c r="D464" i="22"/>
  <c r="D463" i="22"/>
  <c r="D461" i="22"/>
  <c r="D457" i="22"/>
  <c r="D453" i="22"/>
  <c r="D451" i="22"/>
  <c r="D494" i="22"/>
  <c r="D486" i="22"/>
  <c r="D544" i="22"/>
  <c r="D540" i="22"/>
  <c r="D536" i="22"/>
  <c r="D532" i="22"/>
  <c r="D521" i="22"/>
  <c r="D563" i="22"/>
  <c r="D616" i="22"/>
  <c r="D608" i="22"/>
  <c r="D658" i="22"/>
  <c r="D650" i="22"/>
  <c r="D642" i="22"/>
  <c r="D696" i="22"/>
  <c r="D688" i="22"/>
  <c r="D680" i="22"/>
  <c r="D883" i="22"/>
  <c r="D875" i="22"/>
  <c r="D867" i="22"/>
  <c r="D1107" i="22"/>
  <c r="D1091"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775"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1851"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03" i="5"/>
  <c r="D111" i="5"/>
  <c r="D119" i="5"/>
  <c r="D127" i="5"/>
  <c r="D148" i="5"/>
  <c r="D155" i="5"/>
  <c r="D47" i="18"/>
  <c r="D66" i="18"/>
  <c r="D82" i="18"/>
  <c r="D103" i="18"/>
  <c r="D1671" i="21"/>
  <c r="D1679" i="21"/>
  <c r="D1687" i="21"/>
  <c r="D32" i="5"/>
  <c r="D33" i="18"/>
  <c r="D41" i="18"/>
  <c r="D49" i="18"/>
  <c r="D105" i="18"/>
  <c r="D113" i="18"/>
  <c r="D114" i="18"/>
  <c r="D129" i="18"/>
  <c r="D145" i="18"/>
  <c r="D153" i="18"/>
  <c r="D161" i="18"/>
  <c r="D180" i="18"/>
  <c r="D188" i="18"/>
  <c r="D196" i="18"/>
  <c r="D148" i="18"/>
  <c r="D156" i="18"/>
  <c r="D164" i="18"/>
  <c r="D183" i="18"/>
  <c r="D191" i="18"/>
  <c r="D199" i="18"/>
  <c r="D200" i="18"/>
  <c r="D192" i="18"/>
  <c r="D203" i="18"/>
  <c r="D204" i="18"/>
  <c r="D29" i="18"/>
  <c r="D30" i="18"/>
  <c r="D118" i="18"/>
  <c r="D122" i="18"/>
  <c r="D126" i="18"/>
  <c r="D144" i="18"/>
  <c r="D152" i="18"/>
  <c r="D160" i="18"/>
  <c r="D179"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52" i="22"/>
  <c r="D1865" i="22"/>
  <c r="D1864" i="22"/>
  <c r="D1857" i="22"/>
  <c r="D1856" i="22"/>
  <c r="D1777" i="22"/>
  <c r="D1776" i="22"/>
  <c r="D1800" i="22"/>
  <c r="D1799" i="22"/>
  <c r="D1796" i="22"/>
  <c r="D1795" i="22"/>
  <c r="D1747" i="22"/>
  <c r="D1746" i="22"/>
  <c r="D1739" i="22"/>
  <c r="D1738" i="22"/>
  <c r="D1763" i="22"/>
  <c r="D1762" i="22"/>
  <c r="D1755" i="22"/>
  <c r="D1754" i="22"/>
  <c r="D1724" i="22"/>
  <c r="D1723" i="22"/>
  <c r="D1720" i="22"/>
  <c r="D1719" i="22"/>
  <c r="D1716" i="22"/>
  <c r="D1715" i="22"/>
  <c r="D1712" i="22"/>
  <c r="D1711" i="22"/>
  <c r="D1708" i="22"/>
  <c r="D1707" i="22"/>
  <c r="D1704" i="22"/>
  <c r="D1703" i="22"/>
  <c r="D1700" i="22"/>
  <c r="D1699" i="22"/>
  <c r="D1709" i="22"/>
  <c r="D1705" i="22"/>
  <c r="D1701" i="22"/>
  <c r="D1662" i="22"/>
  <c r="D1679" i="22"/>
  <c r="D1678" i="22"/>
  <c r="D1671" i="22"/>
  <c r="D1670" i="22"/>
  <c r="D1663" i="22"/>
  <c r="D1686" i="22"/>
  <c r="D1685" i="22"/>
  <c r="D1649" i="22"/>
  <c r="D1645" i="22"/>
  <c r="D1641" i="22"/>
  <c r="D1637" i="22"/>
  <c r="D1633" i="22"/>
  <c r="D1629" i="22"/>
  <c r="D1625" i="22"/>
  <c r="D1624" i="22"/>
  <c r="D1587" i="22"/>
  <c r="D1586" i="22"/>
  <c r="D1611" i="22"/>
  <c r="D1607" i="22"/>
  <c r="D1603" i="22"/>
  <c r="D1599" i="22"/>
  <c r="D1595" i="22"/>
  <c r="D1591" i="22"/>
  <c r="D1590" i="22"/>
  <c r="D1572" i="22"/>
  <c r="D1571" i="22"/>
  <c r="D1568" i="22"/>
  <c r="D1567" i="22"/>
  <c r="D1564" i="22"/>
  <c r="D1563" i="22"/>
  <c r="D1560" i="22"/>
  <c r="D1559" i="22"/>
  <c r="D1549" i="22"/>
  <c r="D1548" i="22"/>
  <c r="D1573" i="22"/>
  <c r="D1569" i="22"/>
  <c r="D1565" i="22"/>
  <c r="D1561" i="22"/>
  <c r="D1557" i="22"/>
  <c r="D1556" i="22"/>
  <c r="D1534" i="22"/>
  <c r="D1533" i="22"/>
  <c r="D1530" i="22"/>
  <c r="D1529" i="22"/>
  <c r="D1526" i="22"/>
  <c r="D1525" i="22"/>
  <c r="D1522" i="22"/>
  <c r="D1521" i="22"/>
  <c r="D1518" i="22"/>
  <c r="D1511" i="22"/>
  <c r="D1510" i="22"/>
  <c r="D1535" i="22"/>
  <c r="D1531" i="22"/>
  <c r="D1527" i="22"/>
  <c r="D1523" i="22"/>
  <c r="D1519" i="22"/>
  <c r="D1497" i="22"/>
  <c r="D1496" i="22"/>
  <c r="D1489" i="22"/>
  <c r="D1488" i="22"/>
  <c r="D1481" i="22"/>
  <c r="D1480" i="22"/>
  <c r="D1479" i="22"/>
  <c r="D1476" i="22"/>
  <c r="D1475" i="22"/>
  <c r="D1472" i="22"/>
  <c r="D1477" i="22"/>
  <c r="D1473" i="22"/>
  <c r="D1485" i="22"/>
  <c r="D1484" i="22"/>
  <c r="D1435" i="22"/>
  <c r="D1434" i="22"/>
  <c r="D1459" i="22"/>
  <c r="D1455" i="22"/>
  <c r="D1451" i="22"/>
  <c r="D1447" i="22"/>
  <c r="D1443" i="22"/>
  <c r="D1438" i="22"/>
  <c r="D1417" i="22"/>
  <c r="D1409" i="22"/>
  <c r="D1404" i="22"/>
  <c r="D1400" i="22"/>
  <c r="D1396" i="22"/>
  <c r="D1421" i="22"/>
  <c r="D1413" i="22"/>
  <c r="D1359" i="22"/>
  <c r="D1382" i="22"/>
  <c r="D1378" i="22"/>
  <c r="D1374" i="22"/>
  <c r="D1370" i="22"/>
  <c r="D1366" i="22"/>
  <c r="D1344" i="22"/>
  <c r="D1343" i="22"/>
  <c r="D1340" i="22"/>
  <c r="D1337" i="22"/>
  <c r="D1333" i="22"/>
  <c r="D1329" i="22"/>
  <c r="D1325" i="22"/>
  <c r="D1321" i="22"/>
  <c r="D1291" i="22"/>
  <c r="D1290" i="22"/>
  <c r="D1283" i="22"/>
  <c r="D1282" i="22"/>
  <c r="D1306" i="22"/>
  <c r="D1305" i="22"/>
  <c r="D1302" i="22"/>
  <c r="D1301" i="22"/>
  <c r="D1298" i="22"/>
  <c r="D1297" i="22"/>
  <c r="D1268" i="22"/>
  <c r="D1267" i="22"/>
  <c r="D1264" i="22"/>
  <c r="D1263" i="22"/>
  <c r="D1260" i="22"/>
  <c r="D1259" i="22"/>
  <c r="D1256" i="22"/>
  <c r="D1255" i="22"/>
  <c r="D1252" i="22"/>
  <c r="D1251" i="22"/>
  <c r="D1248" i="22"/>
  <c r="D1247" i="22"/>
  <c r="D1244" i="22"/>
  <c r="D1243" i="22"/>
  <c r="D1231" i="22"/>
  <c r="D1230" i="22"/>
  <c r="D1222" i="22"/>
  <c r="D1207" i="22"/>
  <c r="D1206"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53" i="22"/>
  <c r="D1078" i="22"/>
  <c r="D1074" i="22"/>
  <c r="D1079" i="22"/>
  <c r="D1077" i="22"/>
  <c r="D1075" i="22"/>
  <c r="D1073" i="22"/>
  <c r="D1070" i="22"/>
  <c r="D1066" i="22"/>
  <c r="D1041" i="22"/>
  <c r="D1037" i="22"/>
  <c r="D1033" i="22"/>
  <c r="D1029" i="22"/>
  <c r="D1025" i="22"/>
  <c r="D1021" i="22"/>
  <c r="D1016" i="22"/>
  <c r="D1015" i="22"/>
  <c r="D987" i="22"/>
  <c r="D986" i="22"/>
  <c r="D995" i="22"/>
  <c r="D991" i="22"/>
  <c r="D990" i="22"/>
  <c r="D983" i="22"/>
  <c r="D979" i="22"/>
  <c r="D965" i="22"/>
  <c r="D961" i="22"/>
  <c r="D957" i="22"/>
  <c r="D953" i="22"/>
  <c r="D949" i="22"/>
  <c r="D945" i="22"/>
  <c r="D941" i="22"/>
  <c r="D940" i="22"/>
  <c r="D903" i="22"/>
  <c r="D902" i="22"/>
  <c r="D889" i="22"/>
  <c r="D888" i="22"/>
  <c r="D881" i="22"/>
  <c r="D880" i="22"/>
  <c r="D873" i="22"/>
  <c r="D872" i="22"/>
  <c r="D865" i="22"/>
  <c r="D864" i="22"/>
  <c r="D850" i="22"/>
  <c r="D849" i="22"/>
  <c r="D846" i="22"/>
  <c r="D845" i="22"/>
  <c r="D842" i="22"/>
  <c r="D841" i="22"/>
  <c r="D838" i="22"/>
  <c r="D837" i="22"/>
  <c r="D834" i="22"/>
  <c r="D833" i="22"/>
  <c r="D830" i="22"/>
  <c r="D829" i="22"/>
  <c r="D826" i="22"/>
  <c r="D825" i="22"/>
  <c r="D808" i="22"/>
  <c r="D797" i="22"/>
  <c r="D796" i="22"/>
  <c r="D789" i="22"/>
  <c r="D788" i="22"/>
  <c r="D804" i="22"/>
  <c r="D803" i="22"/>
  <c r="D774" i="22"/>
  <c r="D773" i="22"/>
  <c r="D763" i="22"/>
  <c r="D759" i="22"/>
  <c r="D755" i="22"/>
  <c r="D751" i="22"/>
  <c r="D750" i="22"/>
  <c r="D775" i="22"/>
  <c r="D770" i="22"/>
  <c r="D737" i="22"/>
  <c r="D736" i="22"/>
  <c r="D729" i="22"/>
  <c r="D728" i="22"/>
  <c r="D721" i="22"/>
  <c r="D720" i="22"/>
  <c r="D713" i="22"/>
  <c r="D712" i="22"/>
  <c r="D699" i="22"/>
  <c r="D698" i="22"/>
  <c r="D691" i="22"/>
  <c r="D690" i="22"/>
  <c r="D683" i="22"/>
  <c r="D682" i="22"/>
  <c r="D675" i="22"/>
  <c r="D674" i="22"/>
  <c r="D695" i="22"/>
  <c r="D694" i="22"/>
  <c r="D687" i="22"/>
  <c r="D686" i="22"/>
  <c r="D679" i="22"/>
  <c r="D678" i="22"/>
  <c r="D661" i="22"/>
  <c r="D660" i="22"/>
  <c r="D653" i="22"/>
  <c r="D652" i="22"/>
  <c r="D645" i="22"/>
  <c r="D644" i="22"/>
  <c r="D637" i="22"/>
  <c r="D636" i="22"/>
  <c r="D619" i="22"/>
  <c r="D618" i="22"/>
  <c r="D611" i="22"/>
  <c r="D610" i="22"/>
  <c r="D603" i="22"/>
  <c r="D602" i="22"/>
  <c r="D601" i="22"/>
  <c r="D598" i="22"/>
  <c r="D599" i="22"/>
  <c r="D623" i="22"/>
  <c r="D622" i="22"/>
  <c r="D615" i="22"/>
  <c r="D614" i="22"/>
  <c r="D607" i="22"/>
  <c r="D606" i="22"/>
  <c r="D560" i="22"/>
  <c r="D584" i="22"/>
  <c r="D583" i="22"/>
  <c r="D580" i="22"/>
  <c r="D579" i="22"/>
  <c r="D576" i="22"/>
  <c r="D575" i="22"/>
  <c r="D572" i="22"/>
  <c r="D571" i="22"/>
  <c r="D568" i="22"/>
  <c r="D567" i="22"/>
  <c r="D546" i="22"/>
  <c r="D545" i="22"/>
  <c r="D542" i="22"/>
  <c r="D541" i="22"/>
  <c r="D538" i="22"/>
  <c r="D537" i="22"/>
  <c r="D534" i="22"/>
  <c r="D533" i="22"/>
  <c r="D523" i="22"/>
  <c r="D522" i="22"/>
  <c r="D547" i="22"/>
  <c r="D543" i="22"/>
  <c r="D539" i="22"/>
  <c r="D535" i="22"/>
  <c r="D530" i="22"/>
  <c r="D529" i="22"/>
  <c r="D526" i="22"/>
  <c r="D493" i="22"/>
  <c r="D492" i="22"/>
  <c r="D485" i="22"/>
  <c r="D484" i="22"/>
  <c r="D508" i="22"/>
  <c r="D507" i="22"/>
  <c r="D504" i="22"/>
  <c r="D503" i="22"/>
  <c r="D500" i="22"/>
  <c r="D499" i="22"/>
  <c r="D462" i="22"/>
  <c r="D447" i="22"/>
  <c r="D446" i="22"/>
  <c r="D445" i="22"/>
  <c r="D433" i="22"/>
  <c r="D429" i="22"/>
  <c r="D425" i="22"/>
  <c r="D421" i="22"/>
  <c r="D417" i="22"/>
  <c r="D413" i="22"/>
  <c r="D409" i="22"/>
  <c r="D371" i="22"/>
  <c r="D370" i="22"/>
  <c r="D369" i="22"/>
  <c r="D356" i="22"/>
  <c r="D355" i="22"/>
  <c r="D352" i="22"/>
  <c r="D351" i="22"/>
  <c r="D348" i="22"/>
  <c r="D347" i="22"/>
  <c r="D344" i="22"/>
  <c r="D343" i="22"/>
  <c r="D340" i="22"/>
  <c r="D339" i="22"/>
  <c r="D336" i="22"/>
  <c r="D335" i="22"/>
  <c r="D332" i="22"/>
  <c r="D331" i="22"/>
  <c r="D319" i="22"/>
  <c r="D318" i="22"/>
  <c r="D311" i="22"/>
  <c r="D310" i="22"/>
  <c r="D303" i="22"/>
  <c r="D302" i="22"/>
  <c r="D295" i="22"/>
  <c r="D294" i="22"/>
  <c r="D315" i="22"/>
  <c r="D314" i="22"/>
  <c r="D307" i="22"/>
  <c r="D306" i="22"/>
  <c r="D299" i="22"/>
  <c r="D298" i="22"/>
  <c r="D280" i="22"/>
  <c r="D279" i="22"/>
  <c r="D276" i="22"/>
  <c r="D275" i="22"/>
  <c r="D272" i="22"/>
  <c r="D271" i="22"/>
  <c r="D268" i="22"/>
  <c r="D267" i="22"/>
  <c r="D264" i="22"/>
  <c r="D263" i="22"/>
  <c r="D260" i="22"/>
  <c r="D259" i="22"/>
  <c r="D256" i="22"/>
  <c r="D257" i="22"/>
  <c r="D243" i="22"/>
  <c r="D242" i="22"/>
  <c r="D235" i="22"/>
  <c r="D234" i="22"/>
  <c r="D227" i="22"/>
  <c r="D226" i="22"/>
  <c r="D219" i="22"/>
  <c r="D218" i="22"/>
  <c r="D181" i="22"/>
  <c r="D180" i="22"/>
  <c r="D205" i="22"/>
  <c r="D201" i="22"/>
  <c r="D197" i="22"/>
  <c r="D193" i="22"/>
  <c r="D189" i="22"/>
  <c r="D185" i="22"/>
  <c r="D184" i="22"/>
  <c r="D159" i="22"/>
  <c r="D158" i="22"/>
  <c r="D151" i="22"/>
  <c r="D150" i="22"/>
  <c r="D143" i="22"/>
  <c r="D142" i="22"/>
  <c r="D166" i="22"/>
  <c r="D165" i="22"/>
  <c r="D128" i="22"/>
  <c r="D127" i="22"/>
  <c r="D117" i="22"/>
  <c r="D116" i="22"/>
  <c r="D105" i="22"/>
  <c r="D104" i="22"/>
  <c r="D129" i="22"/>
  <c r="D124" i="22"/>
  <c r="D123" i="22"/>
  <c r="D112" i="22"/>
  <c r="D87" i="22"/>
  <c r="D86" i="22"/>
  <c r="D79" i="22"/>
  <c r="D78" i="22"/>
  <c r="D74" i="22"/>
  <c r="D73" i="22"/>
  <c r="D70" i="22"/>
  <c r="D69" i="22"/>
  <c r="D66" i="22"/>
  <c r="D65" i="22"/>
  <c r="D37" i="22"/>
  <c r="D36" i="22"/>
  <c r="D29" i="22"/>
  <c r="D28" i="22"/>
  <c r="D52" i="22"/>
  <c r="D51" i="22"/>
  <c r="D48" i="22"/>
  <c r="D47" i="22"/>
  <c r="D44" i="22"/>
  <c r="D43" i="22"/>
  <c r="D729" i="14"/>
  <c r="D728" i="14"/>
  <c r="D721" i="14"/>
  <c r="D720" i="14"/>
  <c r="D713" i="14"/>
  <c r="D712"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36" i="14"/>
  <c r="D635" i="14"/>
  <c r="D623" i="14"/>
  <c r="D622" i="14"/>
  <c r="D615" i="14"/>
  <c r="D614" i="14"/>
  <c r="D607" i="14"/>
  <c r="D606" i="14"/>
  <c r="D599" i="14"/>
  <c r="D598" i="14"/>
  <c r="D585" i="14"/>
  <c r="D581" i="14"/>
  <c r="D577" i="14"/>
  <c r="D573" i="14"/>
  <c r="D569" i="14"/>
  <c r="D565" i="14"/>
  <c r="D561" i="14"/>
  <c r="D560" i="14"/>
  <c r="D547" i="14"/>
  <c r="D546" i="14"/>
  <c r="D539" i="14"/>
  <c r="D538" i="14"/>
  <c r="D531" i="14"/>
  <c r="D530" i="14"/>
  <c r="D523" i="14"/>
  <c r="D522" i="14"/>
  <c r="D485" i="14"/>
  <c r="D484" i="14"/>
  <c r="D508" i="14"/>
  <c r="D507" i="14"/>
  <c r="D504" i="14"/>
  <c r="D503" i="14"/>
  <c r="D500" i="14"/>
  <c r="D499" i="14"/>
  <c r="D496" i="14"/>
  <c r="D495" i="14"/>
  <c r="D492" i="14"/>
  <c r="D491" i="14"/>
  <c r="D488" i="14"/>
  <c r="D471" i="14"/>
  <c r="D470" i="14"/>
  <c r="D463" i="14"/>
  <c r="D462" i="14"/>
  <c r="D455" i="14"/>
  <c r="D454" i="14"/>
  <c r="D447" i="14"/>
  <c r="D446" i="14"/>
  <c r="D467" i="14"/>
  <c r="D466" i="14"/>
  <c r="D459" i="14"/>
  <c r="D458" i="14"/>
  <c r="D451" i="14"/>
  <c r="D450" i="14"/>
  <c r="D433" i="14"/>
  <c r="D429" i="14"/>
  <c r="D425" i="14"/>
  <c r="D421" i="14"/>
  <c r="D417" i="14"/>
  <c r="D412" i="14"/>
  <c r="D411" i="14"/>
  <c r="D409" i="14"/>
  <c r="D408" i="14"/>
  <c r="D407" i="14"/>
  <c r="D395" i="14"/>
  <c r="D390" i="14"/>
  <c r="D389" i="14"/>
  <c r="D375" i="14"/>
  <c r="D374" i="14"/>
  <c r="D373" i="14"/>
  <c r="D370" i="14"/>
  <c r="D387" i="14"/>
  <c r="D386" i="14"/>
  <c r="D371" i="14"/>
  <c r="D378" i="14"/>
  <c r="D356" i="14"/>
  <c r="D355" i="14"/>
  <c r="D352" i="14"/>
  <c r="D351" i="14"/>
  <c r="D348" i="14"/>
  <c r="D347" i="14"/>
  <c r="D344" i="14"/>
  <c r="D343" i="14"/>
  <c r="D340" i="14"/>
  <c r="D339" i="14"/>
  <c r="D336" i="14"/>
  <c r="D335" i="14"/>
  <c r="D332" i="14"/>
  <c r="D331" i="14"/>
  <c r="D318" i="14"/>
  <c r="D317" i="14"/>
  <c r="D314" i="14"/>
  <c r="D313" i="14"/>
  <c r="D310" i="14"/>
  <c r="D309" i="14"/>
  <c r="D306" i="14"/>
  <c r="D305" i="14"/>
  <c r="D302" i="14"/>
  <c r="D301" i="14"/>
  <c r="D298" i="14"/>
  <c r="D297" i="14"/>
  <c r="D294" i="14"/>
  <c r="D281" i="14"/>
  <c r="D280" i="14"/>
  <c r="D273" i="14"/>
  <c r="D272" i="14"/>
  <c r="D265" i="14"/>
  <c r="D264" i="14"/>
  <c r="D257" i="14"/>
  <c r="D256" i="14"/>
  <c r="D277" i="14"/>
  <c r="D276" i="14"/>
  <c r="D269" i="14"/>
  <c r="D268" i="14"/>
  <c r="D261" i="14"/>
  <c r="D260" i="14"/>
  <c r="D242" i="14"/>
  <c r="D241" i="14"/>
  <c r="D238" i="14"/>
  <c r="D237" i="14"/>
  <c r="D227" i="14"/>
  <c r="D226" i="14"/>
  <c r="D219" i="14"/>
  <c r="D218" i="14"/>
  <c r="D230" i="14"/>
  <c r="D223" i="14"/>
  <c r="D222" i="14"/>
  <c r="D205" i="14"/>
  <c r="D204" i="14"/>
  <c r="D197" i="14"/>
  <c r="D196" i="14"/>
  <c r="D189" i="14"/>
  <c r="D188" i="14"/>
  <c r="D181" i="14"/>
  <c r="D180" i="14"/>
  <c r="D166" i="14"/>
  <c r="D162" i="14"/>
  <c r="D158" i="14"/>
  <c r="D154" i="14"/>
  <c r="D150" i="14"/>
  <c r="D146" i="14"/>
  <c r="D142" i="14"/>
  <c r="D129" i="14"/>
  <c r="D125" i="14"/>
  <c r="D121" i="14"/>
  <c r="D117" i="14"/>
  <c r="D113" i="14"/>
  <c r="D109" i="14"/>
  <c r="D104" i="14"/>
  <c r="D90" i="14"/>
  <c r="D89" i="14"/>
  <c r="D86" i="14"/>
  <c r="D85" i="14"/>
  <c r="D82" i="14"/>
  <c r="D81" i="14"/>
  <c r="D78" i="14"/>
  <c r="D77" i="14"/>
  <c r="D74" i="14"/>
  <c r="D73" i="14"/>
  <c r="D70" i="14"/>
  <c r="D69" i="14"/>
  <c r="D66" i="14"/>
  <c r="D65" i="14"/>
  <c r="D29" i="14"/>
  <c r="D28"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CB27" i="9" a="1"/>
  <c r="U20" i="9" a="1"/>
  <c r="AP26" i="9" a="1"/>
  <c r="CC20" i="9" a="1"/>
  <c r="R25" i="9" a="1"/>
  <c r="AZ21" i="9" a="1"/>
  <c r="CR25" i="9" a="1"/>
  <c r="CR24" i="9" a="1"/>
  <c r="CJ22" i="9" a="1"/>
  <c r="CE20" i="9" a="1"/>
  <c r="AV22" i="9" a="1"/>
  <c r="BC27" i="9" a="1"/>
  <c r="AW21" i="9" a="1"/>
  <c r="BP27" i="9" a="1"/>
  <c r="BE24" i="9" a="1"/>
  <c r="AU26" i="9" a="1"/>
  <c r="BJ20" i="9" a="1"/>
  <c r="BW25" i="9" a="1"/>
  <c r="X20" i="9" a="1"/>
  <c r="V24" i="9" a="1"/>
  <c r="BG22" i="9" a="1"/>
  <c r="T21" i="9" a="1"/>
  <c r="CL21" i="9" a="1"/>
  <c r="BV21" i="9" a="1"/>
  <c r="CD27" i="9" a="1"/>
  <c r="BA25" i="9" a="1"/>
  <c r="AJ23" i="9" a="1"/>
  <c r="AP22" i="9" a="1"/>
  <c r="BB23" i="9" a="1"/>
  <c r="CL23" i="9" a="1"/>
  <c r="AG20" i="9" a="1"/>
  <c r="R22" i="9" a="1"/>
  <c r="CK27" i="9" a="1"/>
  <c r="BE21" i="9" a="1"/>
  <c r="J26" i="9" a="1"/>
  <c r="K780" i="22"/>
  <c r="Z25" i="9" a="1"/>
  <c r="AB23" i="9" a="1"/>
  <c r="M20" i="9" a="1"/>
  <c r="CN21" i="9" a="1"/>
  <c r="CG26" i="9" a="1"/>
  <c r="BT23" i="9" a="1"/>
  <c r="P20" i="9" a="1"/>
  <c r="BQ27" i="9" a="1"/>
  <c r="CQ26" i="9" a="1"/>
  <c r="AC22" i="9" a="1"/>
  <c r="BS23" i="9" a="1"/>
  <c r="CQ22" i="9" a="1"/>
  <c r="BV20" i="9" a="1"/>
  <c r="AK25" i="9" a="1"/>
  <c r="BK20" i="9" a="1"/>
  <c r="AR24" i="9" a="1"/>
  <c r="AQ25" i="9" a="1"/>
  <c r="BW26" i="9" a="1"/>
  <c r="E27" i="9" a="1"/>
  <c r="AG27" i="9" a="1"/>
  <c r="K932" i="22"/>
  <c r="K1806" i="22"/>
  <c r="V27" i="9" a="1"/>
  <c r="K96" i="5"/>
  <c r="BO21" i="9" a="1"/>
  <c r="AQ22" i="9" a="1"/>
  <c r="AH20" i="9" a="1"/>
  <c r="BX24" i="9" a="1"/>
  <c r="BI24" i="9" a="1"/>
  <c r="E24" i="9" a="1"/>
  <c r="BS24" i="9" a="1"/>
  <c r="AO25" i="9" a="1"/>
  <c r="CJ26" i="9" a="1"/>
  <c r="BK26" i="9" a="1"/>
  <c r="BA23" i="9" a="1"/>
  <c r="BU23" i="9" a="1"/>
  <c r="BH21" i="9" a="1"/>
  <c r="AX22" i="9" a="1"/>
  <c r="G25" i="9" a="1"/>
  <c r="K248" i="14"/>
  <c r="CR22" i="9" a="1"/>
  <c r="AS24" i="9" a="1"/>
  <c r="AJ21" i="9" a="1"/>
  <c r="AN25" i="9" a="1"/>
  <c r="T27" i="9" a="1"/>
  <c r="BA26" i="9" a="1"/>
  <c r="CE25" i="9" a="1"/>
  <c r="AQ27" i="9" a="1"/>
  <c r="AB20" i="9" a="1"/>
  <c r="BS22" i="9" a="1"/>
  <c r="BW24" i="9" a="1"/>
  <c r="AC21" i="9" a="1"/>
  <c r="L20" i="9" a="1"/>
  <c r="CF24" i="9" a="1"/>
  <c r="AV25" i="9" a="1"/>
  <c r="J23" i="9" a="1"/>
  <c r="AB25" i="9" a="1"/>
  <c r="K1578" i="22"/>
  <c r="CP21" i="9" a="1"/>
  <c r="K1236" i="22"/>
  <c r="BA24" i="9" a="1"/>
  <c r="BT26" i="9" a="1"/>
  <c r="BP26" i="9" a="1"/>
  <c r="L23" i="9" a="1"/>
  <c r="O27" i="9" a="1"/>
  <c r="K58" i="13"/>
  <c r="K20" i="13"/>
  <c r="K1084" i="22"/>
  <c r="CQ27" i="9" a="1"/>
  <c r="V26" i="9" a="1"/>
  <c r="P24" i="9" a="1"/>
  <c r="Z27" i="9" a="1"/>
  <c r="BH22" i="9" a="1"/>
  <c r="AM20" i="9" a="1"/>
  <c r="AF23" i="9" a="1"/>
  <c r="AE21" i="9" a="1"/>
  <c r="AZ26" i="9" a="1"/>
  <c r="K27" i="9" a="1"/>
  <c r="BD21" i="9" a="1"/>
  <c r="K628" i="22"/>
  <c r="BG25" i="9" a="1"/>
  <c r="BU24" i="9" a="1"/>
  <c r="K1768" i="22"/>
  <c r="AD26" i="9" a="1"/>
  <c r="CO22" i="9" a="1"/>
  <c r="CD25" i="9" a="1"/>
  <c r="AB22" i="9" a="1"/>
  <c r="BD24" i="9" a="1"/>
  <c r="CD21" i="9" a="1"/>
  <c r="K1654" i="22"/>
  <c r="V25" i="9" a="1"/>
  <c r="AO21" i="9" a="1"/>
  <c r="F27" i="9" a="1"/>
  <c r="CK24" i="9" a="1"/>
  <c r="AC26" i="9" a="1"/>
  <c r="R23" i="9" a="1"/>
  <c r="CH26" i="9" a="1"/>
  <c r="AB21" i="9" a="1"/>
  <c r="P25" i="9" a="1"/>
  <c r="BC21" i="9" a="1"/>
  <c r="CB23" i="9" a="1"/>
  <c r="G27" i="9" a="1"/>
  <c r="K476" i="14"/>
  <c r="K58" i="18"/>
  <c r="K1502" i="22"/>
  <c r="AN27" i="9" a="1"/>
  <c r="CG23" i="9" a="1"/>
  <c r="T26" i="9" a="1"/>
  <c r="AD24" i="9" a="1"/>
  <c r="BA22" i="9" a="1"/>
  <c r="AL23" i="9" a="1"/>
  <c r="AH27" i="9" a="1"/>
  <c r="BM24" i="9" a="1"/>
  <c r="F20" i="9" a="1"/>
  <c r="H20" i="9" a="1"/>
  <c r="CP26" i="9" a="1"/>
  <c r="AF24" i="9" a="1"/>
  <c r="K26" i="9" a="1"/>
  <c r="K400" i="14"/>
  <c r="CC25" i="9" a="1"/>
  <c r="Q24" i="9" a="1"/>
  <c r="AS22" i="9" a="1"/>
  <c r="CI20" i="9" a="1"/>
  <c r="K210" i="5"/>
  <c r="K58" i="5"/>
  <c r="CA22" i="9" a="1"/>
  <c r="AJ26" i="9" a="1"/>
  <c r="CC27" i="9" a="1"/>
  <c r="CD22" i="9" a="1"/>
  <c r="CB26" i="9" a="1"/>
  <c r="K286" i="14"/>
  <c r="BY20" i="9" a="1"/>
  <c r="BY23" i="9" a="1"/>
  <c r="BR22" i="9" a="1"/>
  <c r="K362" i="22"/>
  <c r="BL20" i="9" a="1"/>
  <c r="BK25" i="9" a="1"/>
  <c r="BI26" i="9" a="1"/>
  <c r="BN27" i="9" a="1"/>
  <c r="BX21" i="9" a="1"/>
  <c r="BZ23" i="9" a="1"/>
  <c r="Y25" i="9" a="1"/>
  <c r="X23" i="9" a="1"/>
  <c r="CA24" i="9" a="1"/>
  <c r="BP21" i="9" a="1"/>
  <c r="BX23" i="9" a="1"/>
  <c r="AI23" i="9" a="1"/>
  <c r="AM23" i="9" a="1"/>
  <c r="AH22" i="9" a="1"/>
  <c r="K1350" i="22"/>
  <c r="K1008" i="22"/>
  <c r="J25" i="9" a="1"/>
  <c r="AC24" i="9" a="1"/>
  <c r="CI26" i="9" a="1"/>
  <c r="AA23" i="9" a="1"/>
  <c r="BU27" i="9" a="1"/>
  <c r="CD26" i="9" a="1"/>
  <c r="AU27" i="9" a="1"/>
  <c r="BZ20" i="9" a="1"/>
  <c r="Q25" i="9" a="1"/>
  <c r="AR23" i="9" a="1"/>
  <c r="V22" i="9" a="1"/>
  <c r="CD23" i="9" a="1"/>
  <c r="BL25" i="9" a="1"/>
  <c r="BY25" i="9" a="1"/>
  <c r="K324" i="15"/>
  <c r="BQ20" i="9" a="1"/>
  <c r="AM21" i="9" a="1"/>
  <c r="K20" i="5"/>
  <c r="I27" i="9" a="1"/>
  <c r="Y24" i="9" a="1"/>
  <c r="K23" i="9" a="1"/>
  <c r="CH23" i="9" a="1"/>
  <c r="J22" i="9" a="1"/>
  <c r="BT21" i="9" a="1"/>
  <c r="BU21" i="9" a="1"/>
  <c r="CN22" i="9" a="1"/>
  <c r="AM26" i="9" a="1"/>
  <c r="CD20" i="9" a="1"/>
  <c r="K1274" i="22"/>
  <c r="BQ25" i="9" a="1"/>
  <c r="K96" i="13"/>
  <c r="BK24" i="9" a="1"/>
  <c r="L22" i="9" a="1"/>
  <c r="CR20" i="9" a="1"/>
  <c r="V21" i="9" a="1"/>
  <c r="BQ24" i="9" a="1"/>
  <c r="S27" i="9" a="1"/>
  <c r="BQ23" i="9" a="1"/>
  <c r="BT27" i="9" a="1"/>
  <c r="K96" i="18"/>
  <c r="BU26" i="9" a="1"/>
  <c r="P21" i="9" a="1"/>
  <c r="BD25" i="9" a="1"/>
  <c r="AT23" i="9" a="1"/>
  <c r="Z23" i="9" a="1"/>
  <c r="Y21" i="9" a="1"/>
  <c r="K20" i="15"/>
  <c r="G22" i="9" a="1"/>
  <c r="CG22" i="9" a="1"/>
  <c r="AB27" i="9" a="1"/>
  <c r="BP22" i="9" a="1"/>
  <c r="AK26" i="9" a="1"/>
  <c r="AR20" i="9" a="1"/>
  <c r="CJ25" i="9" a="1"/>
  <c r="CP20" i="9" a="1"/>
  <c r="H26" i="9" a="1"/>
  <c r="CG24" i="9" a="1"/>
  <c r="BL23" i="9" a="1"/>
  <c r="AO20" i="9" a="1"/>
  <c r="AD27" i="9" a="1"/>
  <c r="AG22" i="9" a="1"/>
  <c r="BC26" i="9" a="1"/>
  <c r="BF21" i="9" a="1"/>
  <c r="BV25" i="9" a="1"/>
  <c r="CC21" i="9" a="1"/>
  <c r="AJ20" i="9" a="1"/>
  <c r="AQ26" i="9" a="1"/>
  <c r="CH21" i="9" a="1"/>
  <c r="CL24" i="9" a="1"/>
  <c r="CP25" i="9" a="1"/>
  <c r="CI27" i="9" a="1"/>
  <c r="BE26" i="9" a="1"/>
  <c r="AY25" i="9" a="1"/>
  <c r="AV26" i="9" a="1"/>
  <c r="BO24" i="9" a="1"/>
  <c r="K134" i="5"/>
  <c r="Z22" i="9" a="1"/>
  <c r="CM22" i="9" a="1"/>
  <c r="Z20" i="9" a="1"/>
  <c r="K20" i="9" a="1"/>
  <c r="AW20" i="9" a="1"/>
  <c r="AL24" i="9" a="1"/>
  <c r="K134" i="18"/>
  <c r="BE25" i="9" a="1"/>
  <c r="N26" i="9" a="1"/>
  <c r="BG27" i="9" a="1"/>
  <c r="BC25" i="9" a="1"/>
  <c r="BG20" i="9" a="1"/>
  <c r="BB24" i="9" a="1"/>
  <c r="CJ23" i="9" a="1"/>
  <c r="BH24" i="9" a="1"/>
  <c r="S20" i="9" a="1"/>
  <c r="K134" i="22"/>
  <c r="BN23" i="9" a="1"/>
  <c r="Y22" i="9" a="1"/>
  <c r="BN20" i="9" a="1"/>
  <c r="H24" i="9" a="1"/>
  <c r="K894" i="22"/>
  <c r="CJ27" i="9" a="1"/>
  <c r="AW25" i="9" a="1"/>
  <c r="BK21" i="9" a="1"/>
  <c r="AZ24" i="9" a="1"/>
  <c r="BB26" i="9" a="1"/>
  <c r="AH25" i="9" a="1"/>
  <c r="BP25" i="9" a="1"/>
  <c r="AT24" i="9" a="1"/>
  <c r="BH23" i="9" a="1"/>
  <c r="AU22" i="9" a="1"/>
  <c r="BV22" i="9" a="1"/>
  <c r="U21" i="9" a="1"/>
  <c r="AP23" i="9" a="1"/>
  <c r="R27" i="9" a="1"/>
  <c r="AR26" i="9" a="1"/>
  <c r="BZ25" i="9" a="1"/>
  <c r="BH26" i="9" a="1"/>
  <c r="CL27" i="9" a="1"/>
  <c r="N20" i="9" a="1"/>
  <c r="K286" i="22"/>
  <c r="BZ22" i="9" a="1"/>
  <c r="AV20" i="9" a="1"/>
  <c r="J27" i="9" a="1"/>
  <c r="CO23" i="9" a="1"/>
  <c r="BO27" i="9" a="1"/>
  <c r="AE20" i="9" a="1"/>
  <c r="P22" i="9" a="1"/>
  <c r="AG21" i="9" a="1"/>
  <c r="AV23" i="9" a="1"/>
  <c r="CQ24" i="9" a="1"/>
  <c r="K1692" i="22"/>
  <c r="CJ21" i="9" a="1"/>
  <c r="AK22" i="9" a="1"/>
  <c r="CF26" i="9" a="1"/>
  <c r="AB24" i="9" a="1"/>
  <c r="Z26" i="9" a="1"/>
  <c r="BL24" i="9" a="1"/>
  <c r="BZ24" i="9" a="1"/>
  <c r="U24" i="9" a="1"/>
  <c r="AO24" i="9" a="1"/>
  <c r="W25" i="9" a="1"/>
  <c r="BC23" i="9" a="1"/>
  <c r="O20" i="9" a="1"/>
  <c r="CO25" i="9" a="1"/>
  <c r="O26" i="9" a="1"/>
  <c r="AQ21" i="9" a="1"/>
  <c r="BA20" i="9" a="1"/>
  <c r="Q22" i="9" a="1"/>
  <c r="BM21" i="9" a="1"/>
  <c r="K438" i="14"/>
  <c r="K286" i="15"/>
  <c r="BO25" i="9" a="1"/>
  <c r="K856" i="22"/>
  <c r="K172" i="18"/>
  <c r="BJ24" i="9" a="1"/>
  <c r="BD22" i="9" a="1"/>
  <c r="K514" i="22"/>
  <c r="CL22" i="9" a="1"/>
  <c r="BQ26" i="9" a="1"/>
  <c r="K134" i="14"/>
  <c r="AO26" i="9" a="1"/>
  <c r="CR21" i="9" a="1"/>
  <c r="AM25" i="9" a="1"/>
  <c r="I20" i="9" a="1"/>
  <c r="AT25" i="9" a="1"/>
  <c r="AY23" i="9" a="1"/>
  <c r="T20" i="9" a="1"/>
  <c r="K476" i="22"/>
  <c r="CG21" i="9" a="1"/>
  <c r="AR22" i="9" a="1"/>
  <c r="Z21" i="9" a="1"/>
  <c r="AB26" i="9" a="1"/>
  <c r="BN24" i="9" a="1"/>
  <c r="CC26" i="9" a="1"/>
  <c r="AZ20" i="9" a="1"/>
  <c r="U25" i="9" a="1"/>
  <c r="P23" i="9" a="1"/>
  <c r="BO22" i="9" a="1"/>
  <c r="G20" i="9" a="1"/>
  <c r="U27" i="9" a="1"/>
  <c r="BY21" i="9" a="1"/>
  <c r="AY26" i="9" a="1"/>
  <c r="BF20" i="9" a="1"/>
  <c r="L25" i="9" a="1"/>
  <c r="K1122" i="22"/>
  <c r="AG23" i="9" a="1"/>
  <c r="S21" i="9" a="1"/>
  <c r="H23" i="9" a="1"/>
  <c r="K210" i="15"/>
  <c r="CB25" i="9" a="1"/>
  <c r="K96" i="22"/>
  <c r="AD21" i="9" a="1"/>
  <c r="G21" i="9" a="1"/>
  <c r="CL25" i="9" a="1"/>
  <c r="BQ21" i="9" a="1"/>
  <c r="BB25" i="9" a="1"/>
  <c r="CO24" i="9" a="1"/>
  <c r="AN20" i="9" a="1"/>
  <c r="S23" i="9" a="1"/>
  <c r="BM23" i="9" a="1"/>
  <c r="BG24" i="9" a="1"/>
  <c r="CI24" i="9" a="1"/>
  <c r="M24" i="9" a="1"/>
  <c r="CN24" i="9" a="1"/>
  <c r="AI21" i="9" a="1"/>
  <c r="BI21" i="9" a="1"/>
  <c r="CA25" i="9" a="1"/>
  <c r="Q20" i="9" a="1"/>
  <c r="BG26" i="9" a="1"/>
  <c r="AK27" i="9" a="1"/>
  <c r="W27" i="9" a="1"/>
  <c r="AN23" i="9" a="1"/>
  <c r="CB20" i="9" a="1"/>
  <c r="E20" i="9" a="1"/>
  <c r="AV27" i="9" a="1"/>
  <c r="CB21" i="9" a="1"/>
  <c r="K742" i="22"/>
  <c r="CK20" i="9" a="1"/>
  <c r="AX24" i="9" a="1"/>
  <c r="AX21" i="9" a="1"/>
  <c r="CN26" i="9" a="1"/>
  <c r="K210" i="14"/>
  <c r="AD20" i="9" a="1"/>
  <c r="W23" i="9" a="1"/>
  <c r="K590" i="14"/>
  <c r="K628" i="14"/>
  <c r="K96" i="15"/>
  <c r="Y23" i="9" a="1"/>
  <c r="BZ21" i="9" a="1"/>
  <c r="BQ22" i="9" a="1"/>
  <c r="K172" i="14"/>
  <c r="L21" i="9" a="1"/>
  <c r="CF27" i="9" a="1"/>
  <c r="AM22" i="9" a="1"/>
  <c r="CM24" i="9" a="1"/>
  <c r="CK21" i="9" a="1"/>
  <c r="BR27" i="9" a="1"/>
  <c r="K514" i="14"/>
  <c r="I26" i="9" a="1"/>
  <c r="BC20" i="9" a="1"/>
  <c r="CM25" i="9" a="1"/>
  <c r="CI23" i="9" a="1"/>
  <c r="H21" i="9" a="1"/>
  <c r="BG23" i="9" a="1"/>
  <c r="K324" i="22"/>
  <c r="W26" i="9" a="1"/>
  <c r="E21" i="9" a="1"/>
  <c r="K1464" i="22"/>
  <c r="CM20" i="9" a="1"/>
  <c r="CE27" i="9" a="1"/>
  <c r="AU23" i="9" a="1"/>
  <c r="M26" i="9" a="1"/>
  <c r="CP24" i="9" a="1"/>
  <c r="T25" i="9" a="1"/>
  <c r="CH22" i="9" a="1"/>
  <c r="K362" i="14"/>
  <c r="CO21" i="9" a="1"/>
  <c r="BA27" i="9" a="1"/>
  <c r="I21" i="9" a="1"/>
  <c r="AE26" i="9" a="1"/>
  <c r="R24" i="9" a="1"/>
  <c r="AT26" i="9" a="1"/>
  <c r="J20" i="9" a="1"/>
  <c r="CI22" i="9" a="1"/>
  <c r="CK26" i="9" a="1"/>
  <c r="BW20" i="9" a="1"/>
  <c r="H25" i="9" a="1"/>
  <c r="CC22" i="9" a="1"/>
  <c r="AN22" i="9" a="1"/>
  <c r="K704" i="14"/>
  <c r="AK23" i="9" a="1"/>
  <c r="AJ27" i="9" a="1"/>
  <c r="BB27" i="9" a="1"/>
  <c r="AY22" i="9" a="1"/>
  <c r="CM21" i="9" a="1"/>
  <c r="W22" i="9" a="1"/>
  <c r="K1198" i="22"/>
  <c r="BP20" i="9" a="1"/>
  <c r="CP22" i="9" a="1"/>
  <c r="AI26" i="9" a="1"/>
  <c r="K58" i="14"/>
  <c r="K666" i="22"/>
  <c r="BW23" i="9" a="1"/>
  <c r="CE23" i="9" a="1"/>
  <c r="K704" i="22"/>
  <c r="AS21" i="9" a="1"/>
  <c r="F21" i="9" a="1"/>
  <c r="K666" i="14"/>
  <c r="AR21" i="9" a="1"/>
  <c r="BI25" i="9" a="1"/>
  <c r="AA26" i="9" a="1"/>
  <c r="F25" i="9" a="1"/>
  <c r="K1540" i="22"/>
  <c r="BZ27" i="9" a="1"/>
  <c r="U26" i="9" a="1"/>
  <c r="CO27" i="9" a="1"/>
  <c r="AW24" i="9" a="1"/>
  <c r="BC22" i="9" a="1"/>
  <c r="AD23" i="9" a="1"/>
  <c r="E23" i="9" a="1"/>
  <c r="CG25" i="9" a="1"/>
  <c r="AD22" i="9" a="1"/>
  <c r="BI22" i="9" a="1"/>
  <c r="BW27" i="9" a="1"/>
  <c r="CA23" i="9" a="1"/>
  <c r="AS26" i="9" a="1"/>
  <c r="R20" i="9" a="1"/>
  <c r="AP25" i="9" a="1"/>
  <c r="AE23" i="9" a="1"/>
  <c r="CQ23" i="9" a="1"/>
  <c r="CH27" i="9" a="1"/>
  <c r="J21" i="9" a="1"/>
  <c r="CI21" i="9" a="1"/>
  <c r="K1426" i="22"/>
  <c r="AO22" i="9" a="1"/>
  <c r="X22" i="9" a="1"/>
  <c r="BU22" i="9" a="1"/>
  <c r="BF25" i="9" a="1"/>
  <c r="AO27" i="9" a="1"/>
  <c r="Z24" i="9" a="1"/>
  <c r="O22" i="9" a="1"/>
  <c r="V23" i="9" a="1"/>
  <c r="K172" i="22"/>
  <c r="BH25" i="9" a="1"/>
  <c r="AJ22" i="9" a="1"/>
  <c r="I23" i="9" a="1"/>
  <c r="BI27" i="9" a="1"/>
  <c r="AX23" i="9" a="1"/>
  <c r="AE27" i="9" a="1"/>
  <c r="CE21" i="9" a="1"/>
  <c r="CA26" i="9" a="1"/>
  <c r="N22" i="9" a="1"/>
  <c r="BC24" i="9" a="1"/>
  <c r="AF20" i="9" a="1"/>
  <c r="AU20" i="9" a="1"/>
  <c r="BJ26" i="9" a="1"/>
  <c r="T24" i="9" a="1"/>
  <c r="BL21" i="9" a="1"/>
  <c r="H22" i="9" a="1"/>
  <c r="AF27" i="9" a="1"/>
  <c r="AW22" i="9" a="1"/>
  <c r="CO26" i="9" a="1"/>
  <c r="X24" i="9" a="1"/>
  <c r="G26" i="9" a="1"/>
  <c r="K134" i="15"/>
  <c r="CK22" i="9" a="1"/>
  <c r="AX27" i="9" a="1"/>
  <c r="K1046" i="22"/>
  <c r="AU25" i="9" a="1"/>
  <c r="BL27" i="9" a="1"/>
  <c r="E22" i="9" a="1"/>
  <c r="BO26" i="9" a="1"/>
  <c r="AE22" i="9" a="1"/>
  <c r="BX25" i="9" a="1"/>
  <c r="BP23" i="9" a="1"/>
  <c r="BV23" i="9" a="1"/>
  <c r="W21" i="9" a="1"/>
  <c r="AM24" i="9" a="1"/>
  <c r="AP24" i="9" a="1"/>
  <c r="CH20" i="9" a="1"/>
  <c r="H27" i="9" a="1"/>
  <c r="K20" i="22"/>
  <c r="BJ23" i="9" a="1"/>
  <c r="AF25" i="9" a="1"/>
  <c r="BM20" i="9" a="1"/>
  <c r="BX26" i="9" a="1"/>
  <c r="CN25" i="9" a="1"/>
  <c r="BD23" i="9" a="1"/>
  <c r="AY24" i="9" a="1"/>
  <c r="AV21" i="9" a="1"/>
  <c r="AK21" i="9" a="1"/>
  <c r="CF21" i="9" a="1"/>
  <c r="AX20" i="9" a="1"/>
  <c r="K400" i="22"/>
  <c r="BY27" i="9" a="1"/>
  <c r="AX26" i="9" a="1"/>
  <c r="CA27" i="9" a="1"/>
  <c r="CE26" i="9" a="1"/>
  <c r="AG24" i="9" a="1"/>
  <c r="BK23" i="9" a="1"/>
  <c r="AQ20" i="9" a="1"/>
  <c r="K58" i="22"/>
  <c r="BR23" i="9" a="1"/>
  <c r="V20" i="9" a="1"/>
  <c r="K818" i="22"/>
  <c r="AW27" i="9" a="1"/>
  <c r="AG25" i="9" a="1"/>
  <c r="BI20" i="9" a="1"/>
  <c r="W24" i="9" a="1"/>
  <c r="AR25" i="9" a="1"/>
  <c r="AA25" i="9" a="1"/>
  <c r="AR27" i="9" a="1"/>
  <c r="AM27" i="9" a="1"/>
  <c r="BR20" i="9" a="1"/>
  <c r="BK22" i="9" a="1"/>
  <c r="BJ27" i="9" a="1"/>
  <c r="CJ20" i="9" a="1"/>
  <c r="BS25" i="9" a="1"/>
  <c r="AI25" i="9" a="1"/>
  <c r="BV26" i="9" a="1"/>
  <c r="CQ25" i="9" a="1"/>
  <c r="Q27" i="9" a="1"/>
  <c r="CE24" i="9" a="1"/>
  <c r="BF27" i="9" a="1"/>
  <c r="BW22" i="9" a="1"/>
  <c r="T22" i="9" a="1"/>
  <c r="AE24" i="9" a="1"/>
  <c r="K172" i="5"/>
  <c r="K58" i="15"/>
  <c r="X21" i="9" a="1"/>
  <c r="AA24" i="9" a="1"/>
  <c r="BI23" i="9" a="1"/>
  <c r="AA22" i="9" a="1"/>
  <c r="I25" i="9" a="1"/>
  <c r="T23" i="9" a="1"/>
  <c r="E25" i="9" a="1"/>
  <c r="O21" i="9" a="1"/>
  <c r="BF22" i="9" a="1"/>
  <c r="S24" i="9" a="1"/>
  <c r="BR25" i="9" a="1"/>
  <c r="P26" i="9" a="1"/>
  <c r="BF24" i="9" a="1"/>
  <c r="BT20" i="9" a="1"/>
  <c r="BE23" i="9" a="1"/>
  <c r="AT21" i="9" a="1"/>
  <c r="K210" i="22"/>
  <c r="R21" i="9" a="1"/>
  <c r="AN21" i="9" a="1"/>
  <c r="BV27" i="9" a="1"/>
  <c r="S22" i="9" a="1"/>
  <c r="CR27" i="9" a="1"/>
  <c r="AP21" i="9" a="1"/>
  <c r="BS26" i="9" a="1"/>
  <c r="K248" i="15"/>
  <c r="AD25" i="9" a="1"/>
  <c r="CC24" i="9" a="1"/>
  <c r="BD20" i="9" a="1"/>
  <c r="CF23" i="9" a="1"/>
  <c r="CC23" i="9" a="1"/>
  <c r="M21" i="9" a="1"/>
  <c r="CQ20" i="9" a="1"/>
  <c r="CN27" i="9" a="1"/>
  <c r="AK24" i="9" a="1"/>
  <c r="AG26" i="9" a="1"/>
  <c r="AU24" i="9" a="1"/>
  <c r="BY26" i="9" a="1"/>
  <c r="K438" i="22"/>
  <c r="CF25" i="9" a="1"/>
  <c r="BJ22" i="9" a="1"/>
  <c r="BX20" i="9" a="1"/>
  <c r="AA21" i="9" a="1"/>
  <c r="CB22" i="9" a="1"/>
  <c r="K172" i="15"/>
  <c r="K552" i="14"/>
  <c r="AN24" i="9" a="1"/>
  <c r="BN25" i="9" a="1"/>
  <c r="BE20" i="9" a="1"/>
  <c r="BN22" i="9" a="1"/>
  <c r="BJ25" i="9" a="1"/>
  <c r="I24" i="9" a="1"/>
  <c r="CL26" i="9" a="1"/>
  <c r="AJ25" i="9" a="1"/>
  <c r="AZ23" i="9" a="1"/>
  <c r="AL25" i="9" a="1"/>
  <c r="I22" i="9" a="1"/>
  <c r="BF26" i="9" a="1"/>
  <c r="L26" i="9" a="1"/>
  <c r="BR21" i="9" a="1"/>
  <c r="AW26" i="9" a="1"/>
  <c r="L24" i="9" a="1"/>
  <c r="F22" i="9" a="1"/>
  <c r="BB21" i="9" a="1"/>
  <c r="BS21" i="9" a="1"/>
  <c r="K24" i="9" a="1"/>
  <c r="N24" i="9" a="1"/>
  <c r="X27" i="9" a="1"/>
  <c r="AN26" i="9" a="1"/>
  <c r="CE22" i="9" a="1"/>
  <c r="BE27" i="9" a="1"/>
  <c r="BJ21" i="9" a="1"/>
  <c r="AJ24" i="9" a="1"/>
  <c r="CA21" i="9" a="1"/>
  <c r="CP23" i="9" a="1"/>
  <c r="BM22" i="9" a="1"/>
  <c r="AZ25" i="9" a="1"/>
  <c r="K970" i="22"/>
  <c r="AF22" i="9" a="1"/>
  <c r="AV24" i="9" a="1"/>
  <c r="BL22" i="9" a="1"/>
  <c r="BM27" i="9" a="1"/>
  <c r="BU20" i="9" a="1"/>
  <c r="N21" i="9" a="1"/>
  <c r="K1312" i="22"/>
  <c r="BB22" i="9" a="1"/>
  <c r="K22" i="9" a="1"/>
  <c r="BP24" i="9" a="1"/>
  <c r="M25" i="9" a="1"/>
  <c r="BW21" i="9" a="1"/>
  <c r="Q26" i="9" a="1"/>
  <c r="AS27" i="9" a="1"/>
  <c r="AL26" i="9" a="1"/>
  <c r="BO23" i="9" a="1"/>
  <c r="BU25" i="9" a="1"/>
  <c r="K1616" i="22"/>
  <c r="BY24" i="9" a="1"/>
  <c r="BD27" i="9" a="1"/>
  <c r="CK25" i="9" a="1"/>
  <c r="AX25" i="9" a="1"/>
  <c r="CG27" i="9" a="1"/>
  <c r="M27" i="9" a="1"/>
  <c r="K1388" i="22"/>
  <c r="K20" i="18"/>
  <c r="AZ22" i="9" a="1"/>
  <c r="BK27" i="9" a="1"/>
  <c r="AI27" i="9" a="1"/>
  <c r="BB20" i="9" a="1"/>
  <c r="BY22" i="9" a="1"/>
  <c r="R26" i="9" a="1"/>
  <c r="AT22" i="9" a="1"/>
  <c r="F23" i="9" a="1"/>
  <c r="BX27" i="9" a="1"/>
  <c r="F26" i="9" a="1"/>
  <c r="AP20" i="9" a="1"/>
  <c r="AL27" i="9" a="1"/>
  <c r="AH24" i="9" a="1"/>
  <c r="BS27" i="9" a="1"/>
  <c r="AC25" i="9" a="1"/>
  <c r="CD24" i="9" a="1"/>
  <c r="K1160" i="22"/>
  <c r="AF21" i="9" a="1"/>
  <c r="BT24" i="9" a="1"/>
  <c r="BZ26" i="9" a="1"/>
  <c r="BT25" i="9" a="1"/>
  <c r="CQ21" i="9" a="1"/>
  <c r="AI24" i="9" a="1"/>
  <c r="E26" i="9" a="1"/>
  <c r="CI25" i="9" a="1"/>
  <c r="CL20" i="9" a="1"/>
  <c r="BF23" i="9" a="1"/>
  <c r="N27" i="9" a="1"/>
  <c r="AQ23" i="9" a="1"/>
  <c r="BL26" i="9" a="1"/>
  <c r="K552" i="22"/>
  <c r="BG21" i="9" a="1"/>
  <c r="AE25" i="9" a="1"/>
  <c r="AL22" i="9" a="1"/>
  <c r="CP27" i="9" a="1"/>
  <c r="CM26" i="9" a="1"/>
  <c r="BX22" i="9" a="1"/>
  <c r="F24" i="9" a="1"/>
  <c r="AF26" i="9" a="1"/>
  <c r="BH20" i="9" a="1"/>
  <c r="S25" i="9" a="1"/>
  <c r="AY21" i="9" a="1"/>
  <c r="AC20" i="9" a="1"/>
  <c r="AS23" i="9" a="1"/>
  <c r="Y26" i="9" a="1"/>
  <c r="CF22" i="9" a="1"/>
  <c r="CM27" i="9" a="1"/>
  <c r="K590" i="22"/>
  <c r="W20" i="9" a="1"/>
  <c r="K1844" i="22"/>
  <c r="AT20" i="9" a="1"/>
  <c r="Q21" i="9" a="1"/>
  <c r="AS25" i="9" a="1"/>
  <c r="AA20" i="9" a="1"/>
  <c r="BM25" i="9" a="1"/>
  <c r="J24" i="9" a="1"/>
  <c r="AT27" i="9" a="1"/>
  <c r="U23" i="9" a="1"/>
  <c r="N25" i="9" a="1"/>
  <c r="AY20" i="9" a="1"/>
  <c r="O24" i="9" a="1"/>
  <c r="Y27" i="9" a="1"/>
  <c r="AH21" i="9" a="1"/>
  <c r="CJ24" i="9" a="1"/>
  <c r="BH27" i="9" a="1"/>
  <c r="S26" i="9" a="1"/>
  <c r="BT22" i="9" a="1"/>
  <c r="AI20" i="9" a="1"/>
  <c r="AL21" i="9" a="1"/>
  <c r="O25" i="9" a="1"/>
  <c r="K96" i="14"/>
  <c r="BN26" i="9" a="1"/>
  <c r="L27" i="9" a="1"/>
  <c r="BO20" i="9" a="1"/>
  <c r="CH25" i="9" a="1"/>
  <c r="BS20" i="9" a="1"/>
  <c r="AK20" i="9" a="1"/>
  <c r="AW23" i="9" a="1"/>
  <c r="AH26" i="9" a="1"/>
  <c r="AA27" i="9" a="1"/>
  <c r="M23" i="9" a="1"/>
  <c r="AH23" i="9" a="1"/>
  <c r="O23" i="9" a="1"/>
  <c r="K324" i="14"/>
  <c r="CA20" i="9" a="1"/>
  <c r="CN23" i="9" a="1"/>
  <c r="BE22" i="9" a="1"/>
  <c r="K25" i="9" a="1"/>
  <c r="AL20" i="9" a="1"/>
  <c r="G24" i="9" a="1"/>
  <c r="AI22" i="9" a="1"/>
  <c r="CB24" i="9" a="1"/>
  <c r="K21" i="9" a="1"/>
  <c r="CR26" i="9" a="1"/>
  <c r="X26" i="9" a="1"/>
  <c r="AZ27" i="9" a="1"/>
  <c r="AC23" i="9" a="1"/>
  <c r="U22" i="9" a="1"/>
  <c r="P27" i="9" a="1"/>
  <c r="BR24" i="9" a="1"/>
  <c r="AC27" i="9" a="1"/>
  <c r="AU21" i="9" a="1"/>
  <c r="BN21" i="9" a="1"/>
  <c r="Q23" i="9" a="1"/>
  <c r="BV24" i="9" a="1"/>
  <c r="G23" i="9" a="1"/>
  <c r="CN20" i="9" a="1"/>
  <c r="BR26" i="9" a="1"/>
  <c r="Y20" i="9" a="1"/>
  <c r="AS20" i="9" a="1"/>
  <c r="K248" i="22"/>
  <c r="K20" i="14"/>
  <c r="BD26" i="9" a="1"/>
  <c r="AY27" i="9" a="1"/>
  <c r="CH24" i="9" a="1"/>
  <c r="AP27" i="9" a="1"/>
  <c r="CO20" i="9" a="1"/>
  <c r="N23" i="9" a="1"/>
  <c r="CR23" i="9" a="1"/>
  <c r="K1730" i="22"/>
  <c r="AQ24" i="9" a="1"/>
  <c r="BM26" i="9" a="1"/>
  <c r="AO23" i="9" a="1"/>
  <c r="BA21" i="9" a="1"/>
  <c r="CM23" i="9" a="1"/>
  <c r="X25" i="9" a="1"/>
  <c r="M22" i="9" a="1"/>
  <c r="CF20" i="9" a="1"/>
  <c r="CK23" i="9" a="1"/>
  <c r="K21" i="9" l="1"/>
  <c r="AN21" i="9"/>
  <c r="BE22" i="9"/>
  <c r="BF23" i="9"/>
  <c r="CN22" i="9"/>
  <c r="CF26" i="9"/>
  <c r="BG25" i="9"/>
  <c r="Q21" i="9"/>
  <c r="R21" i="9"/>
  <c r="AI24" i="9"/>
  <c r="CE22" i="9"/>
  <c r="AK22" i="9"/>
  <c r="CH23" i="9"/>
  <c r="N24" i="9"/>
  <c r="BR24" i="9"/>
  <c r="U23" i="9"/>
  <c r="BU21" i="9"/>
  <c r="CJ21" i="9"/>
  <c r="K23" i="9"/>
  <c r="O27" i="9"/>
  <c r="N27" i="9"/>
  <c r="AT21" i="9"/>
  <c r="CA20" i="9"/>
  <c r="CL20" i="9"/>
  <c r="BT21" i="9"/>
  <c r="Y24" i="9"/>
  <c r="L23" i="9"/>
  <c r="CQ21" i="9"/>
  <c r="BE23" i="9"/>
  <c r="AN26" i="9"/>
  <c r="K24" i="9"/>
  <c r="BU24" i="9"/>
  <c r="CQ24" i="9"/>
  <c r="I27" i="9"/>
  <c r="BP26" i="9"/>
  <c r="CK23" i="9"/>
  <c r="BT20" i="9"/>
  <c r="CG27" i="9"/>
  <c r="DC10" i="19" s="1"/>
  <c r="AS25" i="9"/>
  <c r="J22" i="9"/>
  <c r="AV23" i="9"/>
  <c r="BT26" i="9"/>
  <c r="BF24" i="9"/>
  <c r="AT20" i="9"/>
  <c r="AJ22" i="9"/>
  <c r="AG21" i="9"/>
  <c r="BD21" i="9"/>
  <c r="BA24" i="9"/>
  <c r="BT25" i="9"/>
  <c r="P26" i="9"/>
  <c r="X27" i="9"/>
  <c r="P22" i="9"/>
  <c r="K27" i="9"/>
  <c r="BS21" i="9"/>
  <c r="BR25" i="9"/>
  <c r="Y27" i="9"/>
  <c r="CD20" i="9"/>
  <c r="BQ22" i="9"/>
  <c r="AE20" i="9"/>
  <c r="AZ26" i="9"/>
  <c r="CP21" i="9"/>
  <c r="CB24" i="9"/>
  <c r="S24" i="9"/>
  <c r="CN23" i="9"/>
  <c r="BH25" i="9"/>
  <c r="BZ21" i="9"/>
  <c r="BO27" i="9"/>
  <c r="AE21" i="9"/>
  <c r="O23" i="9"/>
  <c r="BF22" i="9"/>
  <c r="CI25" i="9"/>
  <c r="AM26" i="9"/>
  <c r="Y23" i="9"/>
  <c r="CO23" i="9"/>
  <c r="AF23" i="9"/>
  <c r="AB25" i="9"/>
  <c r="BZ26" i="9"/>
  <c r="O21" i="9"/>
  <c r="J27" i="9"/>
  <c r="K14" i="5"/>
  <c r="J23" i="9"/>
  <c r="BB21" i="9"/>
  <c r="E25" i="9"/>
  <c r="P27" i="9"/>
  <c r="V23" i="9"/>
  <c r="BM21" i="9"/>
  <c r="AV20" i="9"/>
  <c r="AM20" i="9"/>
  <c r="AV25" i="9"/>
  <c r="BM26" i="9"/>
  <c r="T23" i="9"/>
  <c r="O22" i="9"/>
  <c r="Q22" i="9"/>
  <c r="BZ22" i="9"/>
  <c r="AM21" i="9"/>
  <c r="CF24" i="9"/>
  <c r="AH23" i="9"/>
  <c r="I25" i="9"/>
  <c r="E26" i="9"/>
  <c r="Z24" i="9"/>
  <c r="BA20" i="9"/>
  <c r="BH22" i="9"/>
  <c r="L20" i="9"/>
  <c r="BT24" i="9"/>
  <c r="AA22" i="9"/>
  <c r="BU25" i="9"/>
  <c r="AO27" i="9"/>
  <c r="AQ21" i="9"/>
  <c r="N20" i="9"/>
  <c r="BQ20" i="9"/>
  <c r="AC21" i="9"/>
  <c r="F22" i="9"/>
  <c r="BI23" i="9"/>
  <c r="CF20" i="9"/>
  <c r="BF25" i="9"/>
  <c r="O26" i="9"/>
  <c r="CL27" i="9"/>
  <c r="Z27" i="9"/>
  <c r="BW24" i="9"/>
  <c r="AJ24" i="9"/>
  <c r="AA24" i="9"/>
  <c r="CR23" i="9"/>
  <c r="BU22" i="9"/>
  <c r="CO25" i="9"/>
  <c r="BH26" i="9"/>
  <c r="P24" i="9"/>
  <c r="BS22" i="9"/>
  <c r="M23" i="9"/>
  <c r="X21" i="9"/>
  <c r="X22" i="9"/>
  <c r="O20" i="9"/>
  <c r="BZ25" i="9"/>
  <c r="V26" i="9"/>
  <c r="AB20" i="9"/>
  <c r="AF21" i="9"/>
  <c r="BO23" i="9"/>
  <c r="AO22" i="9"/>
  <c r="BC23" i="9"/>
  <c r="AR26" i="9"/>
  <c r="CQ27" i="9"/>
  <c r="AQ27" i="9"/>
  <c r="L24" i="9"/>
  <c r="BM22" i="9"/>
  <c r="W25" i="9"/>
  <c r="R27" i="9"/>
  <c r="CE25" i="9"/>
  <c r="AT27" i="9"/>
  <c r="AE24" i="9"/>
  <c r="N23" i="9"/>
  <c r="CI21" i="9"/>
  <c r="AO24" i="9"/>
  <c r="AP23" i="9"/>
  <c r="BY25" i="9"/>
  <c r="BA26" i="9"/>
  <c r="AA27" i="9"/>
  <c r="T22" i="9"/>
  <c r="W20" i="9"/>
  <c r="J21" i="9"/>
  <c r="U24" i="9"/>
  <c r="U21" i="9"/>
  <c r="BL25" i="9"/>
  <c r="T27" i="9"/>
  <c r="BW22" i="9"/>
  <c r="AL26" i="9"/>
  <c r="CH27" i="9"/>
  <c r="BV22" i="9"/>
  <c r="CD23" i="9"/>
  <c r="AN25" i="9"/>
  <c r="AW26" i="9"/>
  <c r="BF27" i="9"/>
  <c r="U22" i="9"/>
  <c r="CQ23" i="9"/>
  <c r="BZ24" i="9"/>
  <c r="AU22" i="9"/>
  <c r="V22" i="9"/>
  <c r="AJ21" i="9"/>
  <c r="AX25" i="9"/>
  <c r="CE24" i="9"/>
  <c r="CO20" i="9"/>
  <c r="AE23" i="9"/>
  <c r="BL24" i="9"/>
  <c r="BH23" i="9"/>
  <c r="AR23" i="9"/>
  <c r="AS24" i="9"/>
  <c r="AH26" i="9"/>
  <c r="Q27" i="9"/>
  <c r="AP25" i="9"/>
  <c r="Z26" i="9"/>
  <c r="AT24" i="9"/>
  <c r="Q25" i="9"/>
  <c r="CR22" i="9"/>
  <c r="CD24" i="9"/>
  <c r="CQ25" i="9"/>
  <c r="AS27" i="9"/>
  <c r="R20" i="9"/>
  <c r="AB24" i="9"/>
  <c r="BP25" i="9"/>
  <c r="BZ20" i="9"/>
  <c r="BR21" i="9"/>
  <c r="BV26" i="9"/>
  <c r="O24" i="9"/>
  <c r="AS26" i="9"/>
  <c r="AH25" i="9"/>
  <c r="AU27" i="9"/>
  <c r="G25" i="9"/>
  <c r="AI22" i="9"/>
  <c r="AI25" i="9"/>
  <c r="AP27" i="9"/>
  <c r="CA23" i="9"/>
  <c r="BB26" i="9"/>
  <c r="CD26" i="9"/>
  <c r="AX22" i="9"/>
  <c r="AW23" i="9"/>
  <c r="BS25" i="9"/>
  <c r="CM27" i="9"/>
  <c r="BW27" i="9"/>
  <c r="W23" i="9"/>
  <c r="AZ24" i="9"/>
  <c r="BU27" i="9"/>
  <c r="BH21" i="9"/>
  <c r="AC25" i="9"/>
  <c r="CJ20" i="9"/>
  <c r="Q26" i="9"/>
  <c r="BI22" i="9"/>
  <c r="AD20" i="9"/>
  <c r="BK21" i="9"/>
  <c r="AA23" i="9"/>
  <c r="BU23" i="9"/>
  <c r="L26" i="9"/>
  <c r="BJ27" i="9"/>
  <c r="M22" i="9"/>
  <c r="AD22" i="9"/>
  <c r="AW25" i="9"/>
  <c r="CI26" i="9"/>
  <c r="BA23" i="9"/>
  <c r="AQ24" i="9"/>
  <c r="BK22" i="9"/>
  <c r="CH24" i="9"/>
  <c r="CG25" i="9"/>
  <c r="DC8" i="19" s="1"/>
  <c r="CN26" i="9"/>
  <c r="CJ27" i="9"/>
  <c r="AC24" i="9"/>
  <c r="BK26" i="9"/>
  <c r="AK20" i="9"/>
  <c r="BR20" i="9"/>
  <c r="CF22" i="9"/>
  <c r="E23" i="9"/>
  <c r="AX21" i="9"/>
  <c r="J25" i="9"/>
  <c r="CJ26" i="9"/>
  <c r="BS27" i="9"/>
  <c r="AM27" i="9"/>
  <c r="BW21" i="9"/>
  <c r="AD23" i="9"/>
  <c r="AX24" i="9"/>
  <c r="H24" i="9"/>
  <c r="AO25" i="9"/>
  <c r="BF26" i="9"/>
  <c r="AR27" i="9"/>
  <c r="AC23" i="9"/>
  <c r="BC22" i="9"/>
  <c r="CK20" i="9"/>
  <c r="BN20" i="9"/>
  <c r="BS24" i="9"/>
  <c r="J24" i="9"/>
  <c r="AA25" i="9"/>
  <c r="AY27" i="9"/>
  <c r="AW24" i="9"/>
  <c r="Y22" i="9"/>
  <c r="AH22" i="9"/>
  <c r="E24" i="9"/>
  <c r="BS20" i="9"/>
  <c r="AR25" i="9"/>
  <c r="Y26" i="9"/>
  <c r="CO27" i="9"/>
  <c r="CB21" i="9"/>
  <c r="BN23" i="9"/>
  <c r="AM23" i="9"/>
  <c r="BI24" i="9"/>
  <c r="AH24" i="9"/>
  <c r="W24" i="9"/>
  <c r="M25" i="9"/>
  <c r="U26" i="9"/>
  <c r="AV27" i="9"/>
  <c r="AI23" i="9"/>
  <c r="BX24" i="9"/>
  <c r="I22" i="9"/>
  <c r="BI20" i="9"/>
  <c r="X25" i="9"/>
  <c r="BZ27" i="9"/>
  <c r="E20" i="9"/>
  <c r="S20" i="9"/>
  <c r="BX23" i="9"/>
  <c r="AH20" i="9"/>
  <c r="BJ21" i="9"/>
  <c r="AG25" i="9"/>
  <c r="BD26" i="9"/>
  <c r="CB20" i="9"/>
  <c r="BH24" i="9"/>
  <c r="BP21" i="9"/>
  <c r="AQ22" i="9"/>
  <c r="CH25" i="9"/>
  <c r="AW27" i="9"/>
  <c r="AS23" i="9"/>
  <c r="F25" i="9"/>
  <c r="AN23" i="9"/>
  <c r="CJ23" i="9"/>
  <c r="CA24" i="9"/>
  <c r="BO21" i="9"/>
  <c r="AL27" i="9"/>
  <c r="BP24" i="9"/>
  <c r="AA26" i="9"/>
  <c r="W27" i="9"/>
  <c r="BB24" i="9"/>
  <c r="X23" i="9"/>
  <c r="AL25" i="9"/>
  <c r="V20" i="9"/>
  <c r="CP23" i="9"/>
  <c r="BI25" i="9"/>
  <c r="AK27" i="9"/>
  <c r="BG20" i="9"/>
  <c r="Y25" i="9"/>
  <c r="V27" i="9"/>
  <c r="CK25" i="9"/>
  <c r="BR23" i="9"/>
  <c r="AR21" i="9"/>
  <c r="BG26" i="9"/>
  <c r="BC25" i="9"/>
  <c r="BZ23" i="9"/>
  <c r="BO20" i="9"/>
  <c r="AC20" i="9"/>
  <c r="Q20" i="9"/>
  <c r="BG27" i="9"/>
  <c r="BX21" i="9"/>
  <c r="AP20" i="9"/>
  <c r="AQ20" i="9"/>
  <c r="K22" i="9"/>
  <c r="F21" i="9"/>
  <c r="CA25" i="9"/>
  <c r="N26" i="9"/>
  <c r="BN27" i="9"/>
  <c r="AG27" i="9"/>
  <c r="AZ23" i="9"/>
  <c r="BK23" i="9"/>
  <c r="AY20" i="9"/>
  <c r="AS21" i="9"/>
  <c r="BI21" i="9"/>
  <c r="BE25" i="9"/>
  <c r="BI26" i="9"/>
  <c r="E27" i="9"/>
  <c r="G24" i="9"/>
  <c r="AG24" i="9"/>
  <c r="AI21" i="9"/>
  <c r="BK25" i="9"/>
  <c r="BW26" i="9"/>
  <c r="L27" i="9"/>
  <c r="CE26" i="9"/>
  <c r="AY21" i="9"/>
  <c r="CE23" i="9"/>
  <c r="CN24" i="9"/>
  <c r="AL24" i="9"/>
  <c r="BL20" i="9"/>
  <c r="AQ25" i="9"/>
  <c r="F26" i="9"/>
  <c r="CA27" i="9"/>
  <c r="BB22" i="9"/>
  <c r="BW23" i="9"/>
  <c r="M24" i="9"/>
  <c r="AW20" i="9"/>
  <c r="AR24" i="9"/>
  <c r="AJ25" i="9"/>
  <c r="AX26" i="9"/>
  <c r="AZ27" i="9"/>
  <c r="CI24" i="9"/>
  <c r="K20" i="9"/>
  <c r="BR22" i="9"/>
  <c r="BK20" i="9"/>
  <c r="BM25" i="9"/>
  <c r="BY27" i="9"/>
  <c r="AS20" i="9"/>
  <c r="BG24" i="9"/>
  <c r="Z20" i="9"/>
  <c r="BY23" i="9"/>
  <c r="AK25" i="9"/>
  <c r="BN26" i="9"/>
  <c r="S25" i="9"/>
  <c r="AI26" i="9"/>
  <c r="BM23" i="9"/>
  <c r="CM22" i="9"/>
  <c r="BY20" i="9"/>
  <c r="BV20" i="9"/>
  <c r="BX27" i="9"/>
  <c r="AX20" i="9"/>
  <c r="CP22" i="9"/>
  <c r="S23" i="9"/>
  <c r="Z22" i="9"/>
  <c r="CQ22" i="9"/>
  <c r="CL26" i="9"/>
  <c r="CF21" i="9"/>
  <c r="CM23" i="9"/>
  <c r="BP20" i="9"/>
  <c r="AN20" i="9"/>
  <c r="CB26" i="9"/>
  <c r="BS23" i="9"/>
  <c r="BD27" i="9"/>
  <c r="AK21" i="9"/>
  <c r="Y20" i="9"/>
  <c r="CO24" i="9"/>
  <c r="BO24" i="9"/>
  <c r="CD22" i="9"/>
  <c r="AC22" i="9"/>
  <c r="AV21" i="9"/>
  <c r="BH20" i="9"/>
  <c r="W22" i="9"/>
  <c r="BB25" i="9"/>
  <c r="AV26" i="9"/>
  <c r="CC27" i="9"/>
  <c r="CQ26" i="9"/>
  <c r="F23" i="9"/>
  <c r="AY24" i="9"/>
  <c r="N21" i="9"/>
  <c r="CM21" i="9"/>
  <c r="BQ21" i="9"/>
  <c r="AY25" i="9"/>
  <c r="AJ26" i="9"/>
  <c r="BQ27" i="9"/>
  <c r="I24" i="9"/>
  <c r="BD23" i="9"/>
  <c r="AY22" i="9"/>
  <c r="CL25" i="9"/>
  <c r="BE26" i="9"/>
  <c r="CA22" i="9"/>
  <c r="P20" i="9"/>
  <c r="CN25" i="9"/>
  <c r="BR26" i="9"/>
  <c r="BB27" i="9"/>
  <c r="G21" i="9"/>
  <c r="CI27" i="9"/>
  <c r="BT23" i="9"/>
  <c r="O25" i="9"/>
  <c r="BX26" i="9"/>
  <c r="AF26" i="9"/>
  <c r="AJ27" i="9"/>
  <c r="AD21" i="9"/>
  <c r="CP25" i="9"/>
  <c r="CG26" i="9"/>
  <c r="DC9" i="19" s="1"/>
  <c r="AT22" i="9"/>
  <c r="BM20" i="9"/>
  <c r="BU20" i="9"/>
  <c r="AK23" i="9"/>
  <c r="CL24" i="9"/>
  <c r="CI20" i="9"/>
  <c r="CN21" i="9"/>
  <c r="BJ25" i="9"/>
  <c r="AF25" i="9"/>
  <c r="X26" i="9"/>
  <c r="CB25" i="9"/>
  <c r="CH21" i="9"/>
  <c r="AS22" i="9"/>
  <c r="M20" i="9"/>
  <c r="AL20" i="9"/>
  <c r="BJ23" i="9"/>
  <c r="CN20" i="9"/>
  <c r="AN22" i="9"/>
  <c r="AQ26" i="9"/>
  <c r="Q24" i="9"/>
  <c r="AB23" i="9"/>
  <c r="AL21" i="9"/>
  <c r="K14" i="22"/>
  <c r="F24" i="9"/>
  <c r="CC22" i="9"/>
  <c r="H23" i="9"/>
  <c r="AJ20" i="9"/>
  <c r="CC25" i="9"/>
  <c r="Z25" i="9"/>
  <c r="R26" i="9"/>
  <c r="H27" i="9"/>
  <c r="BM27" i="9"/>
  <c r="H25" i="9"/>
  <c r="S21" i="9"/>
  <c r="CC21" i="9"/>
  <c r="BN22" i="9"/>
  <c r="CH20" i="9"/>
  <c r="BA21" i="9"/>
  <c r="BW20" i="9"/>
  <c r="AG23" i="9"/>
  <c r="BV25" i="9"/>
  <c r="K26" i="9"/>
  <c r="J26" i="9"/>
  <c r="BE27" i="9"/>
  <c r="AP24" i="9"/>
  <c r="G23" i="9"/>
  <c r="CK26" i="9"/>
  <c r="BF21" i="9"/>
  <c r="AF24" i="9"/>
  <c r="BE21" i="9"/>
  <c r="AI20" i="9"/>
  <c r="AM24" i="9"/>
  <c r="BX22" i="9"/>
  <c r="CI22" i="9"/>
  <c r="L25" i="9"/>
  <c r="BC26" i="9"/>
  <c r="CP26" i="9"/>
  <c r="CK27" i="9"/>
  <c r="BY22" i="9"/>
  <c r="W21" i="9"/>
  <c r="BL22" i="9"/>
  <c r="J20" i="9"/>
  <c r="BF20" i="9"/>
  <c r="AG22" i="9"/>
  <c r="H20" i="9"/>
  <c r="R22" i="9"/>
  <c r="BE20" i="9"/>
  <c r="BV23" i="9"/>
  <c r="N25" i="9"/>
  <c r="AT26" i="9"/>
  <c r="AY26" i="9"/>
  <c r="AD27" i="9"/>
  <c r="F20" i="9"/>
  <c r="AG20" i="9"/>
  <c r="BL26" i="9"/>
  <c r="BP23" i="9"/>
  <c r="BV24" i="9"/>
  <c r="R24" i="9"/>
  <c r="BY21" i="9"/>
  <c r="AO20" i="9"/>
  <c r="BM24" i="9"/>
  <c r="CL23" i="9"/>
  <c r="BT22" i="9"/>
  <c r="BX25" i="9"/>
  <c r="CM26" i="9"/>
  <c r="AE26" i="9"/>
  <c r="U27" i="9"/>
  <c r="BL23" i="9"/>
  <c r="AH27" i="9"/>
  <c r="BB23" i="9"/>
  <c r="BB20" i="9"/>
  <c r="AE22" i="9"/>
  <c r="AV24" i="9"/>
  <c r="I21" i="9"/>
  <c r="G20" i="9"/>
  <c r="CG24" i="9"/>
  <c r="DC7" i="19" s="1"/>
  <c r="AL23" i="9"/>
  <c r="AP22" i="9"/>
  <c r="BN25" i="9"/>
  <c r="BO26" i="9"/>
  <c r="CR26" i="9"/>
  <c r="BA27" i="9"/>
  <c r="BO22" i="9"/>
  <c r="H26" i="9"/>
  <c r="BA22" i="9"/>
  <c r="AJ23" i="9"/>
  <c r="AA20" i="9"/>
  <c r="E22" i="9"/>
  <c r="Q23" i="9"/>
  <c r="CO21" i="9"/>
  <c r="P23" i="9"/>
  <c r="CP20" i="9"/>
  <c r="AD24" i="9"/>
  <c r="BA25" i="9"/>
  <c r="S26" i="9"/>
  <c r="BL27" i="9"/>
  <c r="CP27" i="9"/>
  <c r="U25" i="9"/>
  <c r="CJ25" i="9"/>
  <c r="T26" i="9"/>
  <c r="CD27" i="9"/>
  <c r="AI27" i="9"/>
  <c r="AU25" i="9"/>
  <c r="AF22" i="9"/>
  <c r="CH22" i="9"/>
  <c r="AZ20" i="9"/>
  <c r="AR20" i="9"/>
  <c r="CG23" i="9"/>
  <c r="DC6" i="19" s="1"/>
  <c r="BV21" i="9"/>
  <c r="CB22" i="9"/>
  <c r="AN24" i="9"/>
  <c r="T25" i="9"/>
  <c r="CC26" i="9"/>
  <c r="AK26" i="9"/>
  <c r="AN27" i="9"/>
  <c r="CL21" i="9"/>
  <c r="AA21" i="9"/>
  <c r="AX27" i="9"/>
  <c r="CA21" i="9"/>
  <c r="CP24" i="9"/>
  <c r="BN24" i="9"/>
  <c r="BP22" i="9"/>
  <c r="T21" i="9"/>
  <c r="BX20" i="9"/>
  <c r="CK22" i="9"/>
  <c r="K25" i="9"/>
  <c r="M26" i="9"/>
  <c r="AB26" i="9"/>
  <c r="AB27" i="9"/>
  <c r="BG22" i="9"/>
  <c r="BJ22" i="9"/>
  <c r="BN21" i="9"/>
  <c r="AU23" i="9"/>
  <c r="Z21" i="9"/>
  <c r="CG22" i="9"/>
  <c r="DC5" i="19" s="1"/>
  <c r="V24" i="9"/>
  <c r="CF25" i="9"/>
  <c r="G26" i="9"/>
  <c r="BH27" i="9"/>
  <c r="CE27" i="9"/>
  <c r="AR22" i="9"/>
  <c r="G22" i="9"/>
  <c r="G27" i="9"/>
  <c r="X20" i="9"/>
  <c r="X24" i="9"/>
  <c r="AL22" i="9"/>
  <c r="CM20" i="9"/>
  <c r="CG21" i="9"/>
  <c r="DC4" i="19" s="1"/>
  <c r="K14" i="15"/>
  <c r="CB23" i="9"/>
  <c r="BW25" i="9"/>
  <c r="BY26" i="9"/>
  <c r="CO26" i="9"/>
  <c r="BK27" i="9"/>
  <c r="Y21" i="9"/>
  <c r="BC21" i="9"/>
  <c r="BJ20" i="9"/>
  <c r="AU24" i="9"/>
  <c r="AW22" i="9"/>
  <c r="E21" i="9"/>
  <c r="T20" i="9"/>
  <c r="Z23" i="9"/>
  <c r="P25" i="9"/>
  <c r="AU26" i="9"/>
  <c r="AG26" i="9"/>
  <c r="AF27" i="9"/>
  <c r="W26" i="9"/>
  <c r="AY23" i="9"/>
  <c r="AT23" i="9"/>
  <c r="AB21" i="9"/>
  <c r="BE24" i="9"/>
  <c r="AK24" i="9"/>
  <c r="H22" i="9"/>
  <c r="AO23" i="9"/>
  <c r="AT25" i="9"/>
  <c r="BD25" i="9"/>
  <c r="CH26" i="9"/>
  <c r="BP27" i="9"/>
  <c r="CN27" i="9"/>
  <c r="BL21" i="9"/>
  <c r="BY24" i="9"/>
  <c r="BG23" i="9"/>
  <c r="I20" i="9"/>
  <c r="P21" i="9"/>
  <c r="R23" i="9"/>
  <c r="AW21" i="9"/>
  <c r="CQ20" i="9"/>
  <c r="T24" i="9"/>
  <c r="AU21" i="9"/>
  <c r="H21" i="9"/>
  <c r="AM25" i="9"/>
  <c r="BU26" i="9"/>
  <c r="AC26" i="9"/>
  <c r="BC27" i="9"/>
  <c r="M21" i="9"/>
  <c r="BJ26" i="9"/>
  <c r="CJ24" i="9"/>
  <c r="CI23" i="9"/>
  <c r="CR21" i="9"/>
  <c r="CK24" i="9"/>
  <c r="AV22" i="9"/>
  <c r="CC23" i="9"/>
  <c r="AU20" i="9"/>
  <c r="AE25" i="9"/>
  <c r="CM25" i="9"/>
  <c r="AO26" i="9"/>
  <c r="BT27" i="9"/>
  <c r="F27" i="9"/>
  <c r="CE20" i="9"/>
  <c r="CF23" i="9"/>
  <c r="AF20" i="9"/>
  <c r="AZ22" i="9"/>
  <c r="BC20" i="9"/>
  <c r="BQ23" i="9"/>
  <c r="AO21" i="9"/>
  <c r="CJ22" i="9"/>
  <c r="BD20" i="9"/>
  <c r="BC24" i="9"/>
  <c r="AZ25" i="9"/>
  <c r="I26" i="9"/>
  <c r="BQ26" i="9"/>
  <c r="S27" i="9"/>
  <c r="V25" i="9"/>
  <c r="CR24" i="9"/>
  <c r="CC24" i="9"/>
  <c r="N22" i="9"/>
  <c r="CL22" i="9"/>
  <c r="BQ24" i="9"/>
  <c r="CR25" i="9"/>
  <c r="AD25" i="9"/>
  <c r="CA26" i="9"/>
  <c r="M27" i="9"/>
  <c r="BR27" i="9"/>
  <c r="V21" i="9"/>
  <c r="CD21" i="9"/>
  <c r="AZ21" i="9"/>
  <c r="CE21" i="9"/>
  <c r="AQ23" i="9"/>
  <c r="CK21" i="9"/>
  <c r="BD22" i="9"/>
  <c r="CR20" i="9"/>
  <c r="BD24" i="9"/>
  <c r="R25" i="9"/>
  <c r="BS26" i="9"/>
  <c r="AE27" i="9"/>
  <c r="AC27" i="9"/>
  <c r="CM24" i="9"/>
  <c r="BJ24" i="9"/>
  <c r="L22" i="9"/>
  <c r="AB22" i="9"/>
  <c r="CC20" i="9"/>
  <c r="AP21" i="9"/>
  <c r="AX23" i="9"/>
  <c r="AH21" i="9"/>
  <c r="AM22" i="9"/>
  <c r="BK24" i="9"/>
  <c r="CD25" i="9"/>
  <c r="AP26" i="9"/>
  <c r="CR27" i="9"/>
  <c r="BI27" i="9"/>
  <c r="BG21" i="9"/>
  <c r="CF27" i="9"/>
  <c r="CO22" i="9"/>
  <c r="U20" i="9"/>
  <c r="S22" i="9"/>
  <c r="I23" i="9"/>
  <c r="K14" i="18"/>
  <c r="L21" i="9"/>
  <c r="BO25" i="9"/>
  <c r="BQ25" i="9"/>
  <c r="AD26" i="9"/>
  <c r="CB27" i="9"/>
  <c r="BV27"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9" i="9"/>
  <c r="L8" i="9"/>
  <c r="P8" i="9"/>
  <c r="P9"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AQ55" i="9"/>
  <c r="CC55" i="9"/>
  <c r="CJ55" i="9"/>
  <c r="AJ55" i="9"/>
  <c r="J514" i="14"/>
  <c r="K55" i="9"/>
  <c r="X55" i="9"/>
  <c r="G96" i="14"/>
  <c r="AG55" i="9"/>
  <c r="I514" i="14"/>
  <c r="H666" i="14"/>
  <c r="G134" i="14"/>
  <c r="I704" i="14"/>
  <c r="J628" i="14"/>
  <c r="H134" i="14"/>
  <c r="J210" i="14"/>
  <c r="U55" i="9"/>
  <c r="F55" i="9"/>
  <c r="BR55" i="9"/>
  <c r="AD55" i="9"/>
  <c r="CG55" i="9"/>
  <c r="CN55" i="9"/>
  <c r="BB55" i="9"/>
  <c r="AE55" i="9"/>
  <c r="G286" i="14"/>
  <c r="BK55" i="9"/>
  <c r="BS55" i="9"/>
  <c r="G210" i="14"/>
  <c r="CH55" i="9"/>
  <c r="AU55" i="9"/>
  <c r="AT55" i="9"/>
  <c r="I400" i="14"/>
  <c r="F286" i="14"/>
  <c r="AB55" i="9"/>
  <c r="F134" i="15"/>
  <c r="H286" i="14"/>
  <c r="F172" i="14"/>
  <c r="F172" i="15"/>
  <c r="J172" i="14"/>
  <c r="G400" i="14"/>
  <c r="AK55" i="9"/>
  <c r="H134" i="15"/>
  <c r="BM55" i="9"/>
  <c r="S55" i="9"/>
  <c r="BC55" i="9"/>
  <c r="J172" i="15"/>
  <c r="J55" i="9"/>
  <c r="G324" i="14"/>
  <c r="I666" i="14"/>
  <c r="F514" i="14"/>
  <c r="H628" i="14"/>
  <c r="F1882" i="22"/>
  <c r="AZ55" i="9"/>
  <c r="CR55" i="9"/>
  <c r="CI55" i="9"/>
  <c r="F96" i="14"/>
  <c r="F324" i="14"/>
  <c r="H96" i="14"/>
  <c r="BO55" i="9"/>
  <c r="J286" i="14"/>
  <c r="G248" i="14"/>
  <c r="F134" i="14"/>
  <c r="G172" i="15"/>
  <c r="BP55" i="9"/>
  <c r="E55" i="9"/>
  <c r="J362" i="14"/>
  <c r="CA55" i="9"/>
  <c r="BU55" i="9"/>
  <c r="AM55" i="9"/>
  <c r="BI55" i="9"/>
  <c r="F248" i="14"/>
  <c r="J324" i="14"/>
  <c r="Z55" i="9"/>
  <c r="BD55" i="9"/>
  <c r="R55" i="9"/>
  <c r="BF55" i="9"/>
  <c r="CL55" i="9"/>
  <c r="J704" i="14"/>
  <c r="T55" i="9"/>
  <c r="AF55" i="9"/>
  <c r="BV55" i="9"/>
  <c r="I210" i="14"/>
  <c r="G1692" i="21"/>
  <c r="Y55" i="9"/>
  <c r="J666" i="14"/>
  <c r="CO55" i="9"/>
  <c r="G172" i="14"/>
  <c r="CQ55" i="9"/>
  <c r="BL55" i="9"/>
  <c r="F704" i="14"/>
  <c r="H1692" i="21"/>
  <c r="I628" i="14"/>
  <c r="I134" i="14"/>
  <c r="CK55" i="9"/>
  <c r="G55" i="9"/>
  <c r="H248" i="14"/>
  <c r="AW55" i="9"/>
  <c r="BY55" i="9"/>
  <c r="CF55" i="9"/>
  <c r="Q55" i="9"/>
  <c r="J248" i="14"/>
  <c r="CD55" i="9"/>
  <c r="V55" i="9"/>
  <c r="H210" i="14"/>
  <c r="G1882" i="22"/>
  <c r="AY55" i="9"/>
  <c r="AA55" i="9"/>
  <c r="CB55" i="9"/>
  <c r="BT55" i="9"/>
  <c r="I1882" i="22"/>
  <c r="J1882" i="22"/>
  <c r="I134" i="15"/>
  <c r="I172" i="15"/>
  <c r="I1692" i="21"/>
  <c r="F628" i="14"/>
  <c r="AI55" i="9"/>
  <c r="AL55" i="9"/>
  <c r="I172" i="14"/>
  <c r="CE55" i="9"/>
  <c r="J96" i="14"/>
  <c r="H362" i="14"/>
  <c r="BX55" i="9"/>
  <c r="H172" i="14"/>
  <c r="J1692" i="21"/>
  <c r="H1882" i="22"/>
  <c r="F210" i="14"/>
  <c r="AP55" i="9"/>
  <c r="F666" i="14"/>
  <c r="AV55" i="9"/>
  <c r="H400" i="14"/>
  <c r="H324" i="14"/>
  <c r="G628" i="14"/>
  <c r="H514" i="14"/>
  <c r="AS55" i="9"/>
  <c r="N55" i="9"/>
  <c r="I362" i="14"/>
  <c r="O55" i="9"/>
  <c r="L55" i="9"/>
  <c r="F400" i="14"/>
  <c r="H55" i="9"/>
  <c r="AX55" i="9"/>
  <c r="BA55" i="9"/>
  <c r="J134" i="15"/>
  <c r="H704" i="14"/>
  <c r="G704" i="14"/>
  <c r="J134" i="14"/>
  <c r="P55" i="9"/>
  <c r="I248" i="14"/>
  <c r="G362" i="14"/>
  <c r="G514" i="14"/>
  <c r="G666" i="14"/>
  <c r="BW55" i="9"/>
  <c r="BZ55" i="9"/>
  <c r="BG55" i="9"/>
  <c r="CM55" i="9"/>
  <c r="AO55" i="9"/>
  <c r="M55" i="9"/>
  <c r="I286" i="14"/>
  <c r="AR55" i="9"/>
  <c r="G134" i="15"/>
  <c r="BN55" i="9"/>
  <c r="I324" i="14"/>
  <c r="W55" i="9"/>
  <c r="F1692" i="21"/>
  <c r="I96" i="14"/>
  <c r="J400" i="14"/>
  <c r="BQ55" i="9"/>
  <c r="AH55" i="9"/>
  <c r="BJ55" i="9"/>
  <c r="BH55" i="9"/>
  <c r="AN55" i="9"/>
  <c r="BE55" i="9"/>
  <c r="AC55" i="9"/>
  <c r="CP55" i="9"/>
  <c r="F362" i="14"/>
  <c r="H172" i="15"/>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844" i="22"/>
  <c r="J970" i="21"/>
  <c r="G1578" i="22"/>
  <c r="H970" i="22"/>
  <c r="F1844" i="22"/>
  <c r="I1654" i="21"/>
  <c r="J1008" i="22"/>
  <c r="G1540" i="22"/>
  <c r="J1426" i="22"/>
  <c r="F1426" i="22"/>
  <c r="J1122" i="22"/>
  <c r="G1350" i="21"/>
  <c r="F1616" i="21"/>
  <c r="G1122" i="22"/>
  <c r="J1654" i="21"/>
  <c r="J1844" i="22"/>
  <c r="G970" i="22"/>
  <c r="I1122" i="22"/>
  <c r="H1616" i="21"/>
  <c r="H1122" i="22"/>
  <c r="H1578" i="22"/>
  <c r="F970" i="22"/>
  <c r="J970" i="22"/>
  <c r="I970" i="22"/>
  <c r="F1122" i="22"/>
  <c r="G1008" i="22"/>
  <c r="F1540" i="22"/>
  <c r="G1654" i="21"/>
  <c r="F970" i="21"/>
  <c r="H1008" i="22"/>
  <c r="I1350" i="21"/>
  <c r="J1578" i="22"/>
  <c r="F1654" i="21"/>
  <c r="G1844" i="22"/>
  <c r="F1578" i="22"/>
  <c r="I970" i="21"/>
  <c r="I1426" i="22"/>
  <c r="H1540" i="22"/>
  <c r="H970" i="21"/>
  <c r="J1616" i="21"/>
  <c r="F1350" i="21"/>
  <c r="H1654" i="21"/>
  <c r="I1578" i="22"/>
  <c r="I1844" i="22"/>
  <c r="I1008" i="22"/>
  <c r="G1426" i="22"/>
  <c r="J1540" i="22"/>
  <c r="I1540" i="22"/>
  <c r="F1008" i="22"/>
  <c r="I1616" i="21"/>
  <c r="G970" i="21"/>
  <c r="H1426" i="22"/>
  <c r="H1350" i="21"/>
  <c r="G1616" i="21"/>
  <c r="J135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1160" i="21"/>
  <c r="J362" i="21"/>
  <c r="J1046" i="21"/>
  <c r="G1616" i="22"/>
  <c r="F210" i="5"/>
  <c r="J818" i="21"/>
  <c r="J286" i="15"/>
  <c r="J248" i="21"/>
  <c r="H58" i="14"/>
  <c r="F1388" i="21"/>
  <c r="F1502" i="22"/>
  <c r="H590" i="21"/>
  <c r="J58" i="5"/>
  <c r="H58" i="13"/>
  <c r="H1388" i="21"/>
  <c r="I96" i="18"/>
  <c r="I1312" i="21"/>
  <c r="G476" i="21"/>
  <c r="I932" i="22"/>
  <c r="J134" i="5"/>
  <c r="H96" i="18"/>
  <c r="G96" i="22"/>
  <c r="J172" i="5"/>
  <c r="G704" i="22"/>
  <c r="I172" i="22"/>
  <c r="F1122" i="21"/>
  <c r="H286" i="15"/>
  <c r="F818" i="22"/>
  <c r="I1578" i="21"/>
  <c r="I20" i="18"/>
  <c r="F1806" i="22"/>
  <c r="G248" i="15"/>
  <c r="F438" i="22"/>
  <c r="H1502" i="21"/>
  <c r="I96" i="5"/>
  <c r="I476" i="14"/>
  <c r="J1198" i="21"/>
  <c r="J96" i="5"/>
  <c r="J1806" i="22"/>
  <c r="G476" i="14"/>
  <c r="J476" i="22"/>
  <c r="I704" i="22"/>
  <c r="G780" i="21"/>
  <c r="F58" i="22"/>
  <c r="H210" i="21"/>
  <c r="J134" i="22"/>
  <c r="I134" i="22"/>
  <c r="G932" i="21"/>
  <c r="G1046" i="22"/>
  <c r="I96" i="21"/>
  <c r="H58" i="18"/>
  <c r="G1768" i="22"/>
  <c r="J58" i="22"/>
  <c r="I1464" i="22"/>
  <c r="F248" i="15"/>
  <c r="G58" i="18"/>
  <c r="J856" i="22"/>
  <c r="I134" i="5"/>
  <c r="G552" i="14"/>
  <c r="I590" i="22"/>
  <c r="F894" i="22"/>
  <c r="H210" i="22"/>
  <c r="G1312" i="22"/>
  <c r="G476" i="22"/>
  <c r="F1236" i="22"/>
  <c r="G780" i="22"/>
  <c r="J286" i="22"/>
  <c r="G1160" i="22"/>
  <c r="F628" i="22"/>
  <c r="I742" i="21"/>
  <c r="I1046" i="22"/>
  <c r="I1160" i="22"/>
  <c r="H1274" i="21"/>
  <c r="J1046" i="22"/>
  <c r="F1388" i="22"/>
  <c r="G704" i="21"/>
  <c r="I248" i="21"/>
  <c r="H400" i="22"/>
  <c r="G1236" i="22"/>
  <c r="G96" i="5"/>
  <c r="G742" i="22"/>
  <c r="J96" i="18"/>
  <c r="I666" i="22"/>
  <c r="H172" i="22"/>
  <c r="J666" i="22"/>
  <c r="J172" i="18"/>
  <c r="F1578" i="21"/>
  <c r="I248" i="15"/>
  <c r="J932" i="21"/>
  <c r="F818" i="21"/>
  <c r="I210" i="5"/>
  <c r="F58" i="21"/>
  <c r="H400" i="21"/>
  <c r="F400" i="21"/>
  <c r="H324" i="21"/>
  <c r="F324" i="22"/>
  <c r="J1692" i="22"/>
  <c r="J666" i="21"/>
  <c r="I552" i="22"/>
  <c r="H476" i="22"/>
  <c r="H742" i="22"/>
  <c r="H248" i="21"/>
  <c r="G1502" i="21"/>
  <c r="F1084" i="22"/>
  <c r="F1312" i="21"/>
  <c r="J1198" i="22"/>
  <c r="H1464" i="22"/>
  <c r="I20" i="21"/>
  <c r="F552" i="21"/>
  <c r="H1654" i="22"/>
  <c r="H514" i="22"/>
  <c r="F58" i="15"/>
  <c r="I514" i="21"/>
  <c r="G1692" i="22"/>
  <c r="H134" i="21"/>
  <c r="F20" i="14"/>
  <c r="I1312" i="22"/>
  <c r="G438" i="22"/>
  <c r="G818" i="21"/>
  <c r="F628" i="21"/>
  <c r="I1046" i="21"/>
  <c r="G590" i="21"/>
  <c r="J552" i="21"/>
  <c r="I58" i="13"/>
  <c r="J134" i="18"/>
  <c r="I552" i="14"/>
  <c r="J1768" i="22"/>
  <c r="F742" i="21"/>
  <c r="H1008" i="21"/>
  <c r="F248" i="21"/>
  <c r="F1160" i="21"/>
  <c r="I1236" i="22"/>
  <c r="F134" i="5"/>
  <c r="G210" i="5"/>
  <c r="I438" i="22"/>
  <c r="F134" i="22"/>
  <c r="I1540" i="21"/>
  <c r="F1046" i="21"/>
  <c r="J324" i="21"/>
  <c r="G96" i="15"/>
  <c r="F1540" i="21"/>
  <c r="H1502" i="22"/>
  <c r="G286" i="22"/>
  <c r="J324" i="22"/>
  <c r="G286" i="15"/>
  <c r="J476" i="21"/>
  <c r="I1502" i="21"/>
  <c r="G286" i="21"/>
  <c r="F362" i="22"/>
  <c r="G58" i="13"/>
  <c r="G1274" i="22"/>
  <c r="G1464" i="21"/>
  <c r="F1236" i="21"/>
  <c r="H20" i="13"/>
  <c r="I20" i="15"/>
  <c r="I552" i="21"/>
  <c r="G552" i="21"/>
  <c r="J324" i="15"/>
  <c r="J1426" i="21"/>
  <c r="G172" i="18"/>
  <c r="I58" i="22"/>
  <c r="G1540" i="21"/>
  <c r="G324" i="21"/>
  <c r="I20" i="14"/>
  <c r="G1464" i="22"/>
  <c r="J172" i="21"/>
  <c r="J590" i="21"/>
  <c r="G58" i="15"/>
  <c r="H514" i="21"/>
  <c r="J20" i="18"/>
  <c r="G362" i="21"/>
  <c r="J400" i="21"/>
  <c r="I514" i="22"/>
  <c r="J1616" i="22"/>
  <c r="I476" i="22"/>
  <c r="F96" i="15"/>
  <c r="I1122" i="21"/>
  <c r="H1692" i="22"/>
  <c r="H476" i="21"/>
  <c r="F96" i="22"/>
  <c r="G1236" i="21"/>
  <c r="F1426" i="21"/>
  <c r="F20" i="5"/>
  <c r="I856" i="21"/>
  <c r="I780" i="22"/>
  <c r="H96" i="22"/>
  <c r="F704" i="21"/>
  <c r="I210" i="21"/>
  <c r="H20" i="5"/>
  <c r="G96" i="21"/>
  <c r="G20" i="14"/>
  <c r="I20" i="13"/>
  <c r="H1540" i="21"/>
  <c r="I894" i="22"/>
  <c r="J96" i="13"/>
  <c r="J1274" i="22"/>
  <c r="H134" i="5"/>
  <c r="F1692" i="22"/>
  <c r="H628" i="21"/>
  <c r="G1806" i="22"/>
  <c r="G400" i="22"/>
  <c r="I20" i="22"/>
  <c r="H324" i="22"/>
  <c r="I1502" i="22"/>
  <c r="F58" i="5"/>
  <c r="H1616" i="22"/>
  <c r="J58" i="18"/>
  <c r="F476" i="14"/>
  <c r="F96" i="18"/>
  <c r="G590" i="22"/>
  <c r="H438" i="14"/>
  <c r="J1312" i="22"/>
  <c r="F324" i="21"/>
  <c r="G58" i="21"/>
  <c r="G514" i="22"/>
  <c r="J552" i="22"/>
  <c r="F58" i="13"/>
  <c r="I932" i="21"/>
  <c r="J58" i="21"/>
  <c r="J58" i="14"/>
  <c r="I362" i="21"/>
  <c r="G172" i="5"/>
  <c r="J742" i="21"/>
  <c r="J780" i="21"/>
  <c r="I628" i="21"/>
  <c r="G210" i="21"/>
  <c r="J20" i="21"/>
  <c r="F20" i="21"/>
  <c r="F1312" i="22"/>
  <c r="G20" i="5"/>
  <c r="F96" i="13"/>
  <c r="H780" i="21"/>
  <c r="F20" i="18"/>
  <c r="G1426" i="21"/>
  <c r="J704" i="21"/>
  <c r="I476" i="21"/>
  <c r="H704" i="21"/>
  <c r="F1008" i="21"/>
  <c r="J96" i="15"/>
  <c r="G96" i="13"/>
  <c r="H172" i="18"/>
  <c r="I1350" i="22"/>
  <c r="I324" i="21"/>
  <c r="H210" i="15"/>
  <c r="G1122" i="21"/>
  <c r="H20" i="18"/>
  <c r="F96" i="21"/>
  <c r="H286" i="22"/>
  <c r="H1350" i="22"/>
  <c r="F1654" i="22"/>
  <c r="G172" i="21"/>
  <c r="G1388" i="22"/>
  <c r="I1388" i="21"/>
  <c r="G1578" i="21"/>
  <c r="I628" i="22"/>
  <c r="I818" i="21"/>
  <c r="H1730" i="22"/>
  <c r="H172" i="5"/>
  <c r="J96" i="21"/>
  <c r="G894" i="21"/>
  <c r="F856" i="22"/>
  <c r="J1730" i="22"/>
  <c r="I590" i="21"/>
  <c r="I58" i="18"/>
  <c r="I96" i="15"/>
  <c r="H818" i="21"/>
  <c r="G1046" i="21"/>
  <c r="H1312" i="21"/>
  <c r="G20" i="18"/>
  <c r="F172" i="5"/>
  <c r="F20" i="15"/>
  <c r="F20" i="13"/>
  <c r="G134" i="22"/>
  <c r="H818" i="22"/>
  <c r="H780" i="22"/>
  <c r="J742" i="22"/>
  <c r="H894" i="22"/>
  <c r="I1654" i="22"/>
  <c r="I210" i="22"/>
  <c r="G856" i="22"/>
  <c r="F210" i="22"/>
  <c r="J1654" i="22"/>
  <c r="J590" i="22"/>
  <c r="G1502" i="22"/>
  <c r="F324" i="15"/>
  <c r="G134" i="18"/>
  <c r="H248" i="22"/>
  <c r="J20" i="14"/>
  <c r="F932" i="22"/>
  <c r="J1464" i="21"/>
  <c r="F172" i="21"/>
  <c r="G96" i="18"/>
  <c r="F1046" i="22"/>
  <c r="G438" i="14"/>
  <c r="I172" i="21"/>
  <c r="G932" i="22"/>
  <c r="H1122" i="21"/>
  <c r="H1464" i="21"/>
  <c r="G438" i="21"/>
  <c r="J932" i="22"/>
  <c r="J628" i="21"/>
  <c r="G210" i="15"/>
  <c r="F1350" i="22"/>
  <c r="H932" i="22"/>
  <c r="H20" i="14"/>
  <c r="F552" i="14"/>
  <c r="H1388" i="22"/>
  <c r="I324" i="22"/>
  <c r="H438" i="22"/>
  <c r="F514" i="22"/>
  <c r="I210" i="15"/>
  <c r="I438" i="14"/>
  <c r="I1198" i="22"/>
  <c r="J248" i="22"/>
  <c r="J248" i="15"/>
  <c r="G1160" i="21"/>
  <c r="I1236" i="21"/>
  <c r="J1236" i="22"/>
  <c r="H552" i="22"/>
  <c r="J1502" i="21"/>
  <c r="I134" i="18"/>
  <c r="I96" i="13"/>
  <c r="H20" i="15"/>
  <c r="I172" i="5"/>
  <c r="H324" i="15"/>
  <c r="F96" i="5"/>
  <c r="H552" i="21"/>
  <c r="I286" i="22"/>
  <c r="I1730" i="22"/>
  <c r="F894" i="21"/>
  <c r="F666" i="22"/>
  <c r="I400" i="22"/>
  <c r="I742" i="22"/>
  <c r="I20" i="5"/>
  <c r="G628" i="22"/>
  <c r="F438" i="14"/>
  <c r="G58" i="22"/>
  <c r="J514" i="21"/>
  <c r="G590" i="14"/>
  <c r="F210" i="15"/>
  <c r="G20" i="15"/>
  <c r="H96" i="15"/>
  <c r="I1692" i="22"/>
  <c r="H134" i="18"/>
  <c r="F210" i="21"/>
  <c r="H58" i="21"/>
  <c r="G172" i="22"/>
  <c r="I286" i="15"/>
  <c r="F286" i="15"/>
  <c r="J780" i="22"/>
  <c r="G1008" i="21"/>
  <c r="H286" i="21"/>
  <c r="J1388" i="22"/>
  <c r="G58" i="5"/>
  <c r="J362" i="22"/>
  <c r="F590" i="14"/>
  <c r="I704" i="21"/>
  <c r="H628" i="22"/>
  <c r="G1084" i="21"/>
  <c r="J210" i="15"/>
  <c r="G20" i="13"/>
  <c r="H1084" i="21"/>
  <c r="F58" i="18"/>
  <c r="F590" i="22"/>
  <c r="F1464" i="21"/>
  <c r="J1008" i="21"/>
  <c r="I666" i="21"/>
  <c r="J1084" i="22"/>
  <c r="F1274" i="22"/>
  <c r="F172" i="22"/>
  <c r="J1274" i="21"/>
  <c r="J20" i="13"/>
  <c r="F552" i="22"/>
  <c r="I58" i="14"/>
  <c r="I818" i="22"/>
  <c r="J476" i="14"/>
  <c r="H20" i="21"/>
  <c r="G1312" i="21"/>
  <c r="H666" i="22"/>
  <c r="H58" i="15"/>
  <c r="I1616" i="22"/>
  <c r="J1122" i="21"/>
  <c r="I1084" i="22"/>
  <c r="J58" i="13"/>
  <c r="F20" i="22"/>
  <c r="F134" i="18"/>
  <c r="H58" i="5"/>
  <c r="J438" i="21"/>
  <c r="F134" i="21"/>
  <c r="H1160" i="22"/>
  <c r="F1198" i="22"/>
  <c r="F172" i="18"/>
  <c r="J894" i="21"/>
  <c r="G1730" i="22"/>
  <c r="F286" i="21"/>
  <c r="J514" i="22"/>
  <c r="G742" i="21"/>
  <c r="H58" i="22"/>
  <c r="H1198" i="21"/>
  <c r="I58" i="15"/>
  <c r="G1084" i="22"/>
  <c r="J210" i="22"/>
  <c r="J1312" i="21"/>
  <c r="I590" i="14"/>
  <c r="H134" i="22"/>
  <c r="H1274" i="22"/>
  <c r="G666" i="22"/>
  <c r="I248" i="22"/>
  <c r="I96" i="22"/>
  <c r="H1160" i="21"/>
  <c r="F590" i="21"/>
  <c r="H1198" i="22"/>
  <c r="H438" i="21"/>
  <c r="J1236" i="21"/>
  <c r="J1084" i="21"/>
  <c r="J1540" i="21"/>
  <c r="G628" i="21"/>
  <c r="F400" i="22"/>
  <c r="H590" i="14"/>
  <c r="J818" i="22"/>
  <c r="J1160" i="22"/>
  <c r="J1388" i="21"/>
  <c r="G210" i="22"/>
  <c r="F932" i="21"/>
  <c r="G20" i="21"/>
  <c r="I134" i="21"/>
  <c r="F780" i="22"/>
  <c r="J704" i="22"/>
  <c r="J1464" i="22"/>
  <c r="I1008" i="21"/>
  <c r="I58" i="5"/>
  <c r="G1654" i="22"/>
  <c r="G666" i="21"/>
  <c r="J552" i="14"/>
  <c r="J58" i="15"/>
  <c r="G248" i="22"/>
  <c r="H1578" i="21"/>
  <c r="G1274" i="21"/>
  <c r="J438" i="14"/>
  <c r="I894" i="21"/>
  <c r="H172" i="21"/>
  <c r="I1084" i="21"/>
  <c r="I58" i="21"/>
  <c r="F742" i="22"/>
  <c r="H96" i="13"/>
  <c r="I1160" i="21"/>
  <c r="J438" i="22"/>
  <c r="F780" i="21"/>
  <c r="G1198" i="22"/>
  <c r="I172" i="18"/>
  <c r="F704" i="22"/>
  <c r="F1198" i="21"/>
  <c r="G400" i="21"/>
  <c r="G362" i="22"/>
  <c r="H1806" i="22"/>
  <c r="G20" i="22"/>
  <c r="H856" i="22"/>
  <c r="J628" i="22"/>
  <c r="H742" i="21"/>
  <c r="J172" i="22"/>
  <c r="F1084" i="21"/>
  <c r="H362" i="21"/>
  <c r="F476" i="22"/>
  <c r="I1388" i="22"/>
  <c r="J1350" i="22"/>
  <c r="G134" i="5"/>
  <c r="F476" i="21"/>
  <c r="F1730" i="22"/>
  <c r="F1502" i="21"/>
  <c r="F1616" i="22"/>
  <c r="I324" i="15"/>
  <c r="G514" i="21"/>
  <c r="G324" i="22"/>
  <c r="J856" i="21"/>
  <c r="J590" i="14"/>
  <c r="F362" i="21"/>
  <c r="G324" i="15"/>
  <c r="H476" i="14"/>
  <c r="F514" i="21"/>
  <c r="I1198" i="21"/>
  <c r="J400" i="22"/>
  <c r="F248" i="22"/>
  <c r="H704" i="22"/>
  <c r="I780" i="21"/>
  <c r="I1274" i="21"/>
  <c r="G1388" i="21"/>
  <c r="H96" i="5"/>
  <c r="H552" i="14"/>
  <c r="J134" i="21"/>
  <c r="I286" i="21"/>
  <c r="G1198" i="21"/>
  <c r="G856" i="21"/>
  <c r="F666" i="21"/>
  <c r="J20" i="5"/>
  <c r="H666" i="21"/>
  <c r="I362" i="22"/>
  <c r="I1274" i="22"/>
  <c r="H1236" i="21"/>
  <c r="H1312" i="22"/>
  <c r="G1350" i="22"/>
  <c r="I1464" i="21"/>
  <c r="G552" i="22"/>
  <c r="I438" i="21"/>
  <c r="H894" i="21"/>
  <c r="H96" i="21"/>
  <c r="H1046" i="22"/>
  <c r="I1768" i="22"/>
  <c r="F58" i="14"/>
  <c r="J1502" i="22"/>
  <c r="F1768" i="22"/>
  <c r="G248" i="21"/>
  <c r="F1464" i="22"/>
  <c r="G134" i="21"/>
  <c r="J894" i="22"/>
  <c r="F856" i="21"/>
  <c r="H1768" i="22"/>
  <c r="J210" i="5"/>
  <c r="F1160" i="22"/>
  <c r="H1084" i="22"/>
  <c r="F1274" i="21"/>
  <c r="G58" i="14"/>
  <c r="I1426" i="21"/>
  <c r="F286" i="22"/>
  <c r="I400" i="21"/>
  <c r="J1578" i="21"/>
  <c r="H590" i="22"/>
  <c r="I856" i="22"/>
  <c r="J20" i="15"/>
  <c r="F438" i="21"/>
  <c r="H248" i="15"/>
  <c r="H210" i="5"/>
  <c r="J20" i="22"/>
  <c r="H856" i="21"/>
  <c r="J286" i="21"/>
  <c r="J210" i="21"/>
  <c r="J96" i="22"/>
  <c r="G894" i="22"/>
  <c r="H1046" i="21"/>
  <c r="H362" i="22"/>
  <c r="H1236" i="22"/>
  <c r="H20" i="22"/>
  <c r="G818" i="22"/>
  <c r="H932" i="21"/>
  <c r="H1426" i="21"/>
  <c r="I1806" i="22"/>
  <c r="G13" i="14" l="1"/>
  <c r="K13" i="22"/>
  <c r="G14" i="5"/>
  <c r="G13" i="13"/>
  <c r="K12" i="21"/>
  <c r="K13" i="14"/>
  <c r="G14" i="22"/>
  <c r="G13" i="22"/>
  <c r="G12" i="14"/>
  <c r="K12" i="13"/>
  <c r="G12" i="22"/>
  <c r="G12" i="5"/>
  <c r="G14" i="15"/>
  <c r="G12" i="15"/>
  <c r="K13" i="13"/>
  <c r="G13" i="15"/>
  <c r="G13" i="18"/>
  <c r="K12" i="5"/>
  <c r="G12" i="21"/>
  <c r="K13" i="21"/>
  <c r="K13" i="15"/>
  <c r="G13" i="21"/>
  <c r="K13" i="5"/>
  <c r="K12" i="22"/>
  <c r="K12" i="14"/>
  <c r="G13" i="5"/>
  <c r="G14" i="18"/>
  <c r="K13" i="18"/>
  <c r="K12" i="18"/>
  <c r="K12" i="15"/>
  <c r="G14" i="13"/>
  <c r="G14" i="14"/>
  <c r="G12" i="13"/>
  <c r="G12" i="18"/>
  <c r="G14" i="21"/>
  <c r="K15" i="15" l="1"/>
  <c r="K15" i="18"/>
  <c r="K15" i="22"/>
  <c r="K15" i="21"/>
  <c r="G15" i="15"/>
  <c r="G15" i="5"/>
  <c r="G15" i="21"/>
  <c r="G15" i="22"/>
  <c r="G15" i="18"/>
  <c r="K15" i="5"/>
  <c r="K15" i="13"/>
  <c r="G15" i="13"/>
  <c r="K15" i="14"/>
  <c r="G15" i="14"/>
  <c r="L14" i="13" l="1"/>
  <c r="H12" i="13"/>
  <c r="H13" i="13"/>
  <c r="L12" i="13"/>
  <c r="H14" i="13"/>
  <c r="L13" i="13"/>
  <c r="L12" i="22"/>
  <c r="L14" i="22"/>
  <c r="H12" i="22"/>
  <c r="L13" i="22"/>
  <c r="H14" i="22"/>
  <c r="H13" i="22"/>
  <c r="H14" i="21"/>
  <c r="L14" i="21"/>
  <c r="H13" i="21"/>
  <c r="H12" i="21"/>
  <c r="L13" i="21"/>
  <c r="L12" i="21"/>
  <c r="L12" i="5"/>
  <c r="L13" i="5"/>
  <c r="H13" i="5"/>
  <c r="L14" i="5"/>
  <c r="H14" i="5"/>
  <c r="H12" i="5"/>
  <c r="H14" i="18"/>
  <c r="L14" i="18"/>
  <c r="L12" i="18"/>
  <c r="H12" i="18"/>
  <c r="L13" i="18"/>
  <c r="H13" i="18"/>
  <c r="H14" i="14"/>
  <c r="H12" i="14"/>
  <c r="L13" i="14"/>
  <c r="L14" i="14"/>
  <c r="H13" i="14"/>
  <c r="L12" i="14"/>
  <c r="H13" i="15"/>
  <c r="L14" i="15"/>
  <c r="L13" i="15"/>
  <c r="H14" i="15"/>
  <c r="L12" i="15"/>
  <c r="H12" i="15"/>
  <c r="L15" i="21" l="1"/>
  <c r="H15" i="5"/>
  <c r="H15" i="21"/>
  <c r="L15" i="22"/>
  <c r="H15" i="14"/>
  <c r="L15" i="13"/>
  <c r="H15" i="18"/>
  <c r="L15" i="18"/>
  <c r="L15" i="5"/>
  <c r="H15" i="15"/>
  <c r="H15" i="13"/>
  <c r="L15" i="15"/>
  <c r="L15" i="14"/>
  <c r="H15"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<sst xmlns="http://schemas.openxmlformats.org/spreadsheetml/2006/main" count="2938" uniqueCount="515">
  <si>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</si>
  <si>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</si>
  <si>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</si>
  <si>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</si>
  <si>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</si>
  <si>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</si>
  <si>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</si>
  <si>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</si>
  <si>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</si>
  <si>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</si>
  <si>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</si>
  <si>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</si>
  <si>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</si>
  <si>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</si>
  <si>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</si>
  <si>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</si>
  <si>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</si>
  <si>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</si>
  <si>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</si>
  <si>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</si>
  <si>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</si>
  <si>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</si>
  <si>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</si>
  <si>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</si>
  <si>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</si>
  <si>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</si>
  <si>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</si>
  <si>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</si>
  <si>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family val="2"/>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</si>
  <si>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</si>
  <si>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</si>
  <si>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</si>
  <si>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</si>
  <si>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</si>
  <si>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</si>
  <si>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</si>
  <si>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</si>
  <si>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</si>
  <si>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</si>
  <si>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</si>
  <si>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</si>
  <si>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</si>
  <si>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</si>
  <si>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</si>
  <si>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</si>
  <si>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</si>
  <si>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</si>
  <si>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</si>
  <si>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</si>
  <si>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</si>
  <si>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</si>
  <si>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</si>
  <si>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</si>
  <si>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</si>
  <si>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</si>
  <si>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</si>
  <si>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</si>
  <si>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</si>
  <si>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</si>
  <si>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</si>
  <si>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</si>
  <si>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</si>
  <si>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</si>
  <si>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</si>
  <si>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</si>
  <si>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</si>
  <si>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</si>
  <si>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</si>
  <si>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</si>
  <si>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</si>
  <si>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</si>
  <si>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</si>
  <si>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</si>
  <si>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</si>
  <si>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</si>
  <si>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</si>
  <si>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</si>
  <si>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</si>
  <si>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</si>
  <si>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</si>
  <si>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</si>
  <si>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</si>
  <si>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</si>
  <si>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</si>
  <si>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</si>
  <si>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</si>
  <si>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</si>
  <si>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</si>
  <si>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</si>
  <si>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</si>
  <si>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</si>
  <si>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</si>
  <si>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</si>
  <si>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</si>
  <si>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</si>
  <si>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</si>
  <si>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</si>
  <si>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</si>
  <si>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</si>
  <si>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</si>
  <si>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</si>
  <si>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</si>
  <si>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</si>
  <si>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</si>
  <si>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</si>
  <si>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</si>
  <si>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</si>
  <si>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</si>
  <si>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</si>
  <si>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</si>
  <si>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</si>
  <si>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</si>
  <si>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</si>
  <si>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</si>
  <si>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</si>
  <si>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</si>
  <si>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</si>
  <si>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</si>
  <si>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</si>
  <si>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</si>
  <si>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</si>
  <si>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</si>
  <si>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</si>
  <si>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</si>
  <si>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</si>
  <si>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</si>
  <si>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</si>
  <si>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</si>
  <si>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</si>
  <si>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</si>
  <si>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</si>
  <si>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</si>
  <si>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</si>
  <si>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</si>
  <si>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</si>
  <si>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</si>
  <si>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</si>
  <si>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</si>
  <si>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</si>
  <si>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</si>
  <si>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</si>
  <si>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</si>
  <si>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</si>
  <si>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</si>
  <si>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</si>
  <si>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</si>
  <si>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</si>
  <si>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</si>
  <si>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</si>
  <si>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</si>
  <si>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</si>
  <si>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</si>
  <si>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</si>
  <si>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</si>
  <si>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</si>
  <si>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</si>
  <si>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</si>
  <si>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</si>
  <si>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</si>
  <si>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</si>
  <si>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</si>
  <si>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</si>
  <si>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</si>
  <si>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</si>
  <si>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</si>
  <si>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</si>
  <si>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</si>
  <si>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</si>
  <si>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</si>
  <si>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</si>
  <si>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</si>
  <si>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</si>
  <si>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</si>
  <si>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</si>
  <si>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</si>
  <si>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</si>
  <si>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</si>
  <si>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</si>
  <si>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</si>
  <si>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</si>
  <si>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</si>
  <si>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</si>
  <si>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</si>
  <si>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</si>
  <si>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</si>
  <si>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</si>
  <si>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</si>
  <si>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</si>
  <si>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</si>
  <si>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</si>
  <si>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</si>
  <si>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</si>
  <si>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</si>
  <si>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</si>
  <si>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</si>
  <si>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</si>
  <si>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</si>
  <si>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</si>
  <si>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</si>
  <si>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</si>
  <si>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</si>
  <si>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</si>
  <si>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</si>
  <si>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</si>
  <si>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</si>
  <si>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</si>
  <si>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</si>
  <si>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</si>
  <si>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</si>
  <si>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</si>
  <si>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</si>
  <si>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</si>
  <si>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</si>
  <si>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</si>
  <si>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</si>
  <si>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</si>
  <si>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</si>
  <si>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</si>
  <si>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</si>
  <si>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</si>
  <si>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</si>
  <si>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</si>
  <si>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</si>
  <si>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</si>
  <si>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</si>
  <si>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</si>
  <si>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</si>
  <si>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</si>
  <si>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</si>
  <si>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</si>
  <si>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</si>
  <si>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</si>
  <si>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</si>
  <si>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</si>
  <si>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</si>
  <si>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</si>
  <si>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</si>
  <si>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</si>
  <si>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</si>
  <si>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</si>
  <si>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</si>
  <si>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</si>
  <si>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</si>
  <si>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</si>
  <si>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</si>
  <si>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</si>
  <si>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</si>
  <si>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</si>
  <si>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</si>
  <si>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</si>
  <si>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</si>
  <si>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</si>
  <si>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</si>
  <si>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</si>
  <si>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</si>
  <si>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</si>
  <si>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</si>
  <si>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</si>
  <si>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</si>
  <si>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</si>
  <si>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</si>
  <si>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</si>
  <si>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</si>
  <si>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</si>
  <si>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</si>
  <si>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</si>
  <si>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</si>
  <si>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</si>
  <si>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</si>
  <si>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</si>
  <si>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</si>
  <si>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</si>
  <si>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</si>
  <si>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</si>
  <si>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</si>
  <si>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</si>
  <si>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</si>
  <si>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</si>
  <si>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</si>
  <si>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</si>
  <si>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</si>
  <si>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</si>
  <si>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</si>
  <si>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</si>
  <si>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</si>
  <si>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</si>
  <si>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</si>
  <si>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</si>
  <si>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</si>
  <si>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</si>
  <si>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</si>
  <si>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</si>
  <si>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</si>
  <si>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</si>
  <si>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</si>
  <si>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</si>
  <si>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</si>
  <si>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</si>
  <si>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</si>
  <si>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</si>
  <si>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</si>
  <si>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</si>
  <si>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</si>
  <si>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</si>
  <si>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</si>
  <si>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</si>
  <si>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</si>
  <si>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</si>
  <si>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</si>
  <si>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</si>
  <si>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</si>
  <si>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</si>
  <si>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</si>
  <si>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</si>
  <si>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</si>
  <si>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</si>
  <si>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</si>
  <si>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</si>
  <si>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</si>
  <si>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</si>
  <si>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</si>
  <si>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</si>
  <si>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</si>
  <si>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</si>
  <si>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</si>
  <si>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</si>
  <si>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</si>
  <si>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</si>
  <si>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</si>
  <si>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</si>
  <si>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</si>
  <si>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</si>
  <si>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</si>
  <si>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</si>
  <si>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</si>
  <si>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</si>
  <si>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</si>
  <si>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</si>
  <si>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</si>
  <si>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</si>
  <si>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</si>
  <si>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</si>
  <si>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</si>
  <si>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</si>
  <si>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</si>
  <si>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</si>
  <si>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</si>
  <si>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</si>
  <si>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</si>
  <si>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</si>
  <si>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</si>
  <si>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</si>
  <si>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</si>
  <si>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</si>
  <si>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</si>
  <si>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</si>
  <si>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</si>
  <si>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</si>
  <si>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</si>
  <si>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</si>
  <si>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</si>
  <si>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</si>
  <si>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</si>
  <si>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</si>
  <si>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</si>
  <si>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</si>
  <si>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</si>
  <si>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</si>
  <si>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</si>
  <si>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</si>
  <si>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</si>
  <si>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</si>
  <si>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</si>
  <si>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</si>
  <si>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</si>
  <si>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</si>
  <si>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</si>
  <si>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</si>
  <si>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</si>
  <si>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</si>
  <si>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</si>
  <si>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</si>
  <si>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</si>
  <si>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</si>
  <si>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</si>
  <si>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</si>
  <si>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</si>
  <si>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</si>
  <si>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</si>
  <si>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</si>
  <si>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</si>
  <si>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</si>
  <si>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</si>
  <si>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</si>
  <si>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</si>
  <si>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</si>
  <si>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</si>
  <si>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</si>
  <si>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</si>
  <si>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</si>
  <si>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</si>
  <si>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</si>
  <si>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</si>
  <si>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</si>
  <si>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</si>
  <si>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</si>
  <si>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</si>
  <si>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</si>
  <si>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</si>
  <si>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</si>
  <si>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</si>
  <si>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</si>
  <si>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</si>
  <si>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</si>
  <si>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</si>
  <si>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</si>
  <si>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</si>
  <si>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</si>
  <si>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</si>
  <si>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</si>
  <si>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</si>
  <si>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</si>
  <si>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</si>
  <si>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</si>
  <si>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</si>
  <si>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</si>
  <si>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</si>
  <si>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</si>
  <si>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</si>
  <si>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</si>
  <si>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</si>
  <si>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</si>
  <si>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</si>
  <si>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</si>
  <si>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</si>
  <si>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</si>
  <si>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</si>
  <si>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</si>
  <si>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</si>
  <si>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</si>
  <si>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</si>
  <si>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</si>
  <si>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</si>
  <si>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</si>
  <si>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</si>
  <si>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</si>
  <si>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</si>
  <si>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</si>
  <si>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</si>
  <si>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</si>
  <si>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</si>
  <si>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</si>
  <si>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</si>
  <si>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</si>
  <si>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</si>
  <si>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</si>
  <si>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</si>
  <si>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</si>
  <si>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</si>
  <si>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</si>
  <si>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</si>
  <si>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</si>
  <si>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</si>
  <si>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</si>
  <si>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</si>
  <si>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</si>
  <si>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</si>
  <si>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</si>
  <si>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</si>
  <si>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</si>
  <si>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</si>
  <si>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</si>
  <si>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</si>
  <si>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</si>
  <si>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</si>
  <si>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</si>
  <si>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</si>
  <si>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</si>
  <si>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</si>
  <si>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</si>
  <si>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</si>
  <si>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t>
  </si>
  <si>
    <t>Tribunal Administrativo de Contratación Pública</t>
  </si>
  <si>
    <t>https://www.comunidad.madrid/tacp</t>
  </si>
  <si>
    <t>Se revisan las páginas del dominio</t>
  </si>
  <si>
    <t>PORTAL TRIBUNAL ADMINISTRATIVO DE CONTRATACIÓN PÚBLICA DE LA COMUNIDAD DE MADRID</t>
  </si>
  <si>
    <t>Home</t>
  </si>
  <si>
    <t>Página Web</t>
  </si>
  <si>
    <t>Presentación electrónica</t>
  </si>
  <si>
    <t>https://www.comunidad.madrid/tacp/el-tribunal/presentacion-electronica-e-impresos-normalizados</t>
  </si>
  <si>
    <t>Home - El tribunal (Presentación electrónica)</t>
  </si>
  <si>
    <t>Memorias</t>
  </si>
  <si>
    <t>https://www.comunidad.madrid/tacp/memorias</t>
  </si>
  <si>
    <t>Home - Publicaciones (Memorias)</t>
  </si>
  <si>
    <t>https://www.comunidad.madrid/tacp/busquedaresoluciones</t>
  </si>
  <si>
    <t>Buscador de resoluciones</t>
  </si>
  <si>
    <t>Home - Buscador de resoluciones</t>
  </si>
  <si>
    <t>Novedades</t>
  </si>
  <si>
    <t>https://www.comunidad.madrid/tacp/novedades/publicacion-recursos-especiales-en-perfil-contratante</t>
  </si>
  <si>
    <t>Home - Novedades</t>
  </si>
  <si>
    <t>Aviso Legal</t>
  </si>
  <si>
    <t>https://www.comunidad.madrid/tacp/aviso-legal</t>
  </si>
  <si>
    <t>Footer - Aviso Legal</t>
  </si>
  <si>
    <t>https://www.comunidad.madrid/tacp/accesibilidad</t>
  </si>
  <si>
    <t>Accesibilidad</t>
  </si>
  <si>
    <t>Footer - Accesibilidad</t>
  </si>
  <si>
    <t>Mapa Web</t>
  </si>
  <si>
    <t>https://www.comunidad.madrid/tacp/sitemap</t>
  </si>
  <si>
    <t>Footer - Mapa Web</t>
  </si>
  <si>
    <t>SUBDIRECCIÓN GENERAL DE ADMINISTRACIÓN ELECTRÓNICA</t>
  </si>
  <si>
    <t>A13043893</t>
  </si>
  <si>
    <t>COMUNIDAD DE MADRID</t>
  </si>
  <si>
    <t>A13002908</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</si>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</sst>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amily val="2"/>
    </font>
    <font>
      <b/>
      <sz val="18"/>
      <color rgb="FF000000"/>
      <name val="Helvetica Neue"/>
      <family val="2"/>
    </font>
    <font>
      <sz val="11"/>
      <color rgb="FF000000"/>
      <name val="Helvetica Neue"/>
      <family val="2"/>
    </font>
    <font>
      <sz val="10"/>
      <color rgb="FF000000"/>
      <name val="Helvetica Neue"/>
      <family val="2"/>
    </font>
    <font>
      <b/>
      <sz val="12"/>
      <color rgb="FF000000"/>
      <name val="Arial"/>
      <family val="2"/>
    </font>
    <font>
      <sz val="12"/>
      <color rgb="FF000000"/>
      <name val="Arial"/>
      <family val="2"/>
    </font>
    <font>
      <b/>
      <sz val="10"/>
      <color rgb="FF000000"/>
      <name val="Helvetica Neue"/>
      <family val="2"/>
    </font>
    <font>
      <b/>
      <sz val="11"/>
      <color rgb="FF000000"/>
      <name val="Helvetica Neue"/>
      <family val="2"/>
    </font>
    <font>
      <sz val="10"/>
      <name val="Helvetica Neue"/>
      <family val="2"/>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amily val="2"/>
    </font>
    <font>
      <sz val="11"/>
      <name val="Helvetica Neue"/>
      <family val="2"/>
    </font>
    <font>
      <b/>
      <sz val="12"/>
      <color rgb="FF000000"/>
      <name val="Helvetica Neue"/>
      <family val="2"/>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amily val="2"/>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amily val="2"/>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ill>
        <patternFill>
          <bgColor rgb="FF00B050"/>
        </patternFill>
      </fill>
    </dxf>
    <dxf>
      <fill>
        <patternFill>
          <bgColor rgb="FFFF0000"/>
        </patternFill>
      </fill>
    </dxf>
    <dxf>
      <font>
        <b/>
        <i val="0"/>
        <sz val="10"/>
        <color rgb="FF006600"/>
        <name val="Arial"/>
      </font>
      <fill>
        <patternFill>
          <bgColor rgb="FFEDF9F4"/>
        </patternFill>
      </fill>
    </dxf>
    <dxf>
      <font>
        <b/>
        <i val="0"/>
        <strike val="0"/>
        <outline val="0"/>
        <shadow val="0"/>
        <u val="none"/>
        <sz val="8"/>
        <color rgb="FFCC0000"/>
        <name val="Arial"/>
      </font>
      <fill>
        <patternFill>
          <bgColor rgb="FFFDEAEC"/>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alignment horizontal="center" vertical="bottom" textRotation="0" wrapText="0" indent="0" shrinkToFit="0"/>
    </dxf>
    <dxf>
      <font>
        <b/>
        <i val="0"/>
        <strike val="0"/>
        <outline val="0"/>
        <shadow val="0"/>
        <u val="none"/>
        <sz val="8"/>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453125" defaultRowHeight="12.5"/>
  <cols>
    <col min="1" max="1" width="11.6328125" customWidth="1"/>
    <col min="14" max="14" width="18.36328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2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2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7.5">
      <c r="B19" s="169" t="s">
        <v>10</v>
      </c>
      <c r="C19" s="168"/>
      <c r="D19" s="168"/>
      <c r="E19" s="168"/>
      <c r="F19" s="168"/>
      <c r="G19" s="168"/>
      <c r="H19" s="168"/>
      <c r="I19" s="168"/>
      <c r="J19" s="168"/>
      <c r="K19" s="168"/>
      <c r="L19" s="168"/>
      <c r="M19" s="168"/>
      <c r="N19" s="168"/>
    </row>
    <row r="20" spans="2:14" ht="18.5">
      <c r="B20" s="166" t="s">
        <v>11</v>
      </c>
      <c r="C20" s="167"/>
      <c r="D20" s="167"/>
      <c r="E20" s="167"/>
      <c r="F20" s="167"/>
      <c r="G20" s="167"/>
      <c r="H20" s="167"/>
      <c r="I20" s="167"/>
      <c r="J20" s="167"/>
      <c r="K20" s="167"/>
      <c r="L20" s="167"/>
      <c r="M20" s="167"/>
      <c r="N20" s="167"/>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65" zoomScale="120" zoomScaleNormal="120" workbookViewId="0">
      <selection activeCell="D209" sqref="D209:D216"/>
    </sheetView>
  </sheetViews>
  <sheetFormatPr baseColWidth="10" defaultColWidth="11.453125" defaultRowHeight="12.5"/>
  <cols>
    <col min="1" max="1" width="7.81640625" style="14" customWidth="1"/>
    <col min="2" max="2" width="16.1796875" style="14" customWidth="1"/>
    <col min="3" max="3" width="71"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5.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5" customHeight="1">
      <c r="B7" s="18"/>
      <c r="C7" s="18"/>
      <c r="D7" s="18"/>
      <c r="E7" s="79"/>
      <c r="F7" s="18"/>
      <c r="G7" s="18"/>
      <c r="H7" s="18"/>
      <c r="I7" s="18"/>
      <c r="J7" s="18"/>
      <c r="K7" s="18"/>
      <c r="L7" s="18"/>
      <c r="M7" s="18"/>
      <c r="N7" s="18"/>
      <c r="O7" s="18"/>
    </row>
    <row r="8" spans="1:64" ht="1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48</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48</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https://www.comunidad.madrid/tacp</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Presentación electrónica</v>
      </c>
      <c r="C20" s="85" t="str" cm="1">
        <f t="array" ref="C20">IFERROR(INDEX('03.Muestra'!$F$8:$F$42,SMALL(IF("Página Web"='03.Muestra'!$D$8:$D$42,ROW('03.Muestra'!$F$8:$F$42)-MIN(ROW('03.Muestra'!$D$8:$D$42))+1,""),ROW()-18)),"")</f>
        <v>https://www.comunidad.madrid/tacp/el-tribunal/presentacion-electronica-e-impresos-normalizados</v>
      </c>
      <c r="D20" s="99" t="s">
        <v>104</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Memorias</v>
      </c>
      <c r="C21" s="85" t="str" cm="1">
        <f t="array" ref="C21">IFERROR(INDEX('03.Muestra'!$F$8:$F$42,SMALL(IF("Página Web"='03.Muestra'!$D$8:$D$42,ROW('03.Muestra'!$F$8:$F$42)-MIN(ROW('03.Muestra'!$D$8:$D$42))+1,""),ROW()-18)),"")</f>
        <v>https://www.comunidad.madrid/tacp/memorias</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Buscador de resoluciones</v>
      </c>
      <c r="C22" s="85" t="str" cm="1">
        <f t="array" ref="C22">IFERROR(INDEX('03.Muestra'!$F$8:$F$42,SMALL(IF("Página Web"='03.Muestra'!$D$8:$D$42,ROW('03.Muestra'!$F$8:$F$42)-MIN(ROW('03.Muestra'!$D$8:$D$42))+1,""),ROW()-18)),"")</f>
        <v>https://www.comunidad.madrid/tacp/busquedaresoluciones</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Novedades</v>
      </c>
      <c r="C23" s="85" t="str" cm="1">
        <f t="array" ref="C23">IFERROR(INDEX('03.Muestra'!$F$8:$F$42,SMALL(IF("Página Web"='03.Muestra'!$D$8:$D$42,ROW('03.Muestra'!$F$8:$F$42)-MIN(ROW('03.Muestra'!$D$8:$D$42))+1,""),ROW()-18)),"")</f>
        <v>https://www.comunidad.madrid/tacp/novedades/publicacion-recursos-especiales-en-perfil-contratante</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https://www.comunidad.madrid/tacp/aviso-legal</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https://www.comunidad.madrid/tacp/accesibilidad</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https://www.comunidad.madrid/tacp/sitemap</v>
      </c>
      <c r="D26" s="99" t="s">
        <v>104</v>
      </c>
      <c r="E26" s="79" t="str">
        <f t="shared" si="0"/>
        <v/>
      </c>
      <c r="F26" s="18"/>
      <c r="G26" s="18"/>
      <c r="H26" s="18"/>
      <c r="I26" s="18"/>
      <c r="J26" s="18"/>
      <c r="K26" s="18"/>
    </row>
    <row r="27" spans="1:13"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K27" s="18"/>
    </row>
    <row r="28" spans="1:13"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https://www.comunidad.madrid/tacp</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Presentación electrónica</v>
      </c>
      <c r="C58" s="85" t="str" cm="1">
        <f t="array" ref="C58">IFERROR(INDEX('03.Muestra'!$F$8:$F$42,SMALL(IF("Página Web"='03.Muestra'!$D$8:$D$42,ROW('03.Muestra'!$F$8:$F$42)-MIN(ROW('03.Muestra'!$D$8:$D$42))+1,""),ROW()-56)),"")</f>
        <v>https://www.comunidad.madrid/tacp/el-tribunal/presentacion-electronica-e-impresos-normalizados</v>
      </c>
      <c r="D58" s="99" t="s">
        <v>104</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Memorias</v>
      </c>
      <c r="C59" s="85" t="str" cm="1">
        <f t="array" ref="C59">IFERROR(INDEX('03.Muestra'!$F$8:$F$42,SMALL(IF("Página Web"='03.Muestra'!$D$8:$D$42,ROW('03.Muestra'!$F$8:$F$42)-MIN(ROW('03.Muestra'!$D$8:$D$42))+1,""),ROW()-56)),"")</f>
        <v>https://www.comunidad.madrid/tacp/memorias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Buscador de resoluciones</v>
      </c>
      <c r="C60" s="85" t="str" cm="1">
        <f t="array" ref="C60">IFERROR(INDEX('03.Muestra'!$F$8:$F$42,SMALL(IF("Página Web"='03.Muestra'!$D$8:$D$42,ROW('03.Muestra'!$F$8:$F$42)-MIN(ROW('03.Muestra'!$D$8:$D$42))+1,""),ROW()-56)),"")</f>
        <v>https://www.comunidad.madrid/tacp/busquedaresoluciones</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Novedades</v>
      </c>
      <c r="C61" s="85" t="str" cm="1">
        <f t="array" ref="C61">IFERROR(INDEX('03.Muestra'!$F$8:$F$42,SMALL(IF("Página Web"='03.Muestra'!$D$8:$D$42,ROW('03.Muestra'!$F$8:$F$42)-MIN(ROW('03.Muestra'!$D$8:$D$42))+1,""),ROW()-56)),"")</f>
        <v>https://www.comunidad.madrid/tacp/novedades/publicacion-recursos-especiales-en-perfil-contratante</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https://www.comunidad.madrid/tacp/aviso-legal</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https://www.comunidad.madrid/tacp/accesibilidad</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https://www.comunidad.madrid/tacp/sitemap</v>
      </c>
      <c r="D64" s="99" t="s">
        <v>104</v>
      </c>
      <c r="E64" s="79" t="str">
        <f t="shared" si="2"/>
        <v/>
      </c>
      <c r="F64" s="18"/>
      <c r="G64" s="18"/>
      <c r="H64" s="18"/>
      <c r="I64" s="18"/>
      <c r="J64" s="18"/>
      <c r="K64" s="184"/>
    </row>
    <row r="65" spans="1:11"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4"/>
    </row>
    <row r="66" spans="1:11"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https://www.comunidad.madrid/tacp</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Presentación electrónica</v>
      </c>
      <c r="C96" s="85" t="str" cm="1">
        <f t="array" ref="C96">IFERROR(INDEX('03.Muestra'!$F$8:$F$42,SMALL(IF("Página Web"='03.Muestra'!$D$8:$D$42,ROW('03.Muestra'!$F$8:$F$42)-MIN(ROW('03.Muestra'!$D$8:$D$42))+1,""),ROW()-94)),"")</f>
        <v>https://www.comunidad.madrid/tacp/el-tribunal/presentacion-electronica-e-impresos-normalizados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Memorias</v>
      </c>
      <c r="C97" s="85" t="str" cm="1">
        <f t="array" ref="C97">IFERROR(INDEX('03.Muestra'!$F$8:$F$42,SMALL(IF("Página Web"='03.Muestra'!$D$8:$D$42,ROW('03.Muestra'!$F$8:$F$42)-MIN(ROW('03.Muestra'!$D$8:$D$42))+1,""),ROW()-94)),"")</f>
        <v>https://www.comunidad.madrid/tacp/memorias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Buscador de resoluciones</v>
      </c>
      <c r="C98" s="85" t="str" cm="1">
        <f t="array" ref="C98">IFERROR(INDEX('03.Muestra'!$F$8:$F$42,SMALL(IF("Página Web"='03.Muestra'!$D$8:$D$42,ROW('03.Muestra'!$F$8:$F$42)-MIN(ROW('03.Muestra'!$D$8:$D$42))+1,""),ROW()-94)),"")</f>
        <v>https://www.comunidad.madrid/tacp/busquedaresoluciones</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Novedades</v>
      </c>
      <c r="C99" s="85" t="str" cm="1">
        <f t="array" ref="C99">IFERROR(INDEX('03.Muestra'!$F$8:$F$42,SMALL(IF("Página Web"='03.Muestra'!$D$8:$D$42,ROW('03.Muestra'!$F$8:$F$42)-MIN(ROW('03.Muestra'!$D$8:$D$42))+1,""),ROW()-94)),"")</f>
        <v>https://www.comunidad.madrid/tacp/novedades/publicacion-recursos-especiales-en-perfil-contratante</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https://www.comunidad.madrid/tacp/aviso-legal</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https://www.comunidad.madrid/tacp/accesibilidad</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https://www.comunidad.madrid/tacp/sitemap</v>
      </c>
      <c r="D102" s="99" t="s">
        <v>104</v>
      </c>
      <c r="E102" s="79" t="str">
        <f t="shared" si="4"/>
        <v/>
      </c>
      <c r="F102" s="18"/>
      <c r="G102" s="18"/>
      <c r="H102" s="18"/>
      <c r="I102" s="18"/>
      <c r="J102" s="18"/>
      <c r="K102" s="184"/>
    </row>
    <row r="103" spans="1:11"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4"/>
    </row>
    <row r="104" spans="1:11"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https://www.comunidad.madrid/tacp</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Presentación electrónica</v>
      </c>
      <c r="C134" s="85" t="str" cm="1">
        <f t="array" ref="C134">IFERROR(INDEX('03.Muestra'!$F$8:$F$42,SMALL(IF("Página Web"='03.Muestra'!$D$8:$D$42,ROW('03.Muestra'!$F$8:$F$42)-MIN(ROW('03.Muestra'!$D$8:$D$42))+1,""),ROW()-132)),"")</f>
        <v>https://www.comunidad.madrid/tacp/el-tribunal/presentacion-electronica-e-impresos-normalizados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8</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Memorias</v>
      </c>
      <c r="C135" s="85" t="str" cm="1">
        <f t="array" ref="C135">IFERROR(INDEX('03.Muestra'!$F$8:$F$42,SMALL(IF("Página Web"='03.Muestra'!$D$8:$D$42,ROW('03.Muestra'!$F$8:$F$42)-MIN(ROW('03.Muestra'!$D$8:$D$42))+1,""),ROW()-132)),"")</f>
        <v>https://www.comunidad.madrid/tacp/memorias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Buscador de resoluciones</v>
      </c>
      <c r="C136" s="85" t="str" cm="1">
        <f t="array" ref="C136">IFERROR(INDEX('03.Muestra'!$F$8:$F$42,SMALL(IF("Página Web"='03.Muestra'!$D$8:$D$42,ROW('03.Muestra'!$F$8:$F$42)-MIN(ROW('03.Muestra'!$D$8:$D$42))+1,""),ROW()-132)),"")</f>
        <v>https://www.comunidad.madrid/tacp/busquedaresoluciones</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Novedades</v>
      </c>
      <c r="C137" s="85" t="str" cm="1">
        <f t="array" ref="C137">IFERROR(INDEX('03.Muestra'!$F$8:$F$42,SMALL(IF("Página Web"='03.Muestra'!$D$8:$D$42,ROW('03.Muestra'!$F$8:$F$42)-MIN(ROW('03.Muestra'!$D$8:$D$42))+1,""),ROW()-132)),"")</f>
        <v>https://www.comunidad.madrid/tacp/novedades/publicacion-recursos-especiales-en-perfil-contratante</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https://www.comunidad.madrid/tacp/aviso-legal</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https://www.comunidad.madrid/tacp/accesibilidad</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https://www.comunidad.madrid/tacp/sitemap</v>
      </c>
      <c r="D140" s="99" t="s">
        <v>104</v>
      </c>
      <c r="E140" s="79" t="str">
        <f t="shared" si="6"/>
        <v/>
      </c>
      <c r="F140" s="18"/>
      <c r="G140" s="18"/>
      <c r="H140" s="18"/>
      <c r="I140" s="18"/>
      <c r="J140" s="18"/>
      <c r="K140" s="184"/>
    </row>
    <row r="141" spans="1:11"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row>
    <row r="142" spans="1:11"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https://www.comunidad.madrid/tacp</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Presentación electrónica</v>
      </c>
      <c r="C172" s="85" t="str" cm="1">
        <f t="array" ref="C172">IFERROR(INDEX('03.Muestra'!$F$8:$F$42,SMALL(IF("Página Web"='03.Muestra'!$D$8:$D$42,ROW('03.Muestra'!$F$8:$F$42)-MIN(ROW('03.Muestra'!$D$8:$D$42))+1,""),ROW()-170)),"")</f>
        <v>https://www.comunidad.madrid/tacp/el-tribunal/presentacion-electronica-e-impresos-normalizados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Memorias</v>
      </c>
      <c r="C173" s="85" t="str" cm="1">
        <f t="array" ref="C173">IFERROR(INDEX('03.Muestra'!$F$8:$F$42,SMALL(IF("Página Web"='03.Muestra'!$D$8:$D$42,ROW('03.Muestra'!$F$8:$F$42)-MIN(ROW('03.Muestra'!$D$8:$D$42))+1,""),ROW()-170)),"")</f>
        <v>https://www.comunidad.madrid/tacp/memorias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Buscador de resoluciones</v>
      </c>
      <c r="C174" s="85" t="str" cm="1">
        <f t="array" ref="C174">IFERROR(INDEX('03.Muestra'!$F$8:$F$42,SMALL(IF("Página Web"='03.Muestra'!$D$8:$D$42,ROW('03.Muestra'!$F$8:$F$42)-MIN(ROW('03.Muestra'!$D$8:$D$42))+1,""),ROW()-170)),"")</f>
        <v>https://www.comunidad.madrid/tacp/busquedaresoluciones</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Novedades</v>
      </c>
      <c r="C175" s="85" t="str" cm="1">
        <f t="array" ref="C175">IFERROR(INDEX('03.Muestra'!$F$8:$F$42,SMALL(IF("Página Web"='03.Muestra'!$D$8:$D$42,ROW('03.Muestra'!$F$8:$F$42)-MIN(ROW('03.Muestra'!$D$8:$D$42))+1,""),ROW()-170)),"")</f>
        <v>https://www.comunidad.madrid/tacp/novedades/publicacion-recursos-especiales-en-perfil-contratante</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https://www.comunidad.madrid/tacp/aviso-legal</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https://www.comunidad.madrid/tacp/accesibilidad</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https://www.comunidad.madrid/tacp/sitemap</v>
      </c>
      <c r="D178" s="99" t="s">
        <v>104</v>
      </c>
      <c r="E178" s="79" t="str">
        <f t="shared" si="8"/>
        <v/>
      </c>
      <c r="F178" s="18"/>
      <c r="G178" s="18"/>
      <c r="H178" s="18"/>
      <c r="I178" s="18"/>
      <c r="J178" s="18"/>
      <c r="K178" s="184"/>
    </row>
    <row r="179" spans="1:11"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84"/>
    </row>
    <row r="180" spans="1:11"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https://www.comunidad.madrid/tacp</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Presentación electrónica</v>
      </c>
      <c r="C210" s="85" t="str" cm="1">
        <f t="array" ref="C210">IFERROR(INDEX('03.Muestra'!$F$8:$F$42,SMALL(IF("Página Web"='03.Muestra'!$D$8:$D$42,ROW('03.Muestra'!$F$8:$F$42)-MIN(ROW('03.Muestra'!$D$8:$D$42))+1,""),ROW()-208)),"")</f>
        <v>https://www.comunidad.madrid/tacp/el-tribunal/presentacion-electronica-e-impresos-normalizados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8</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Memorias</v>
      </c>
      <c r="C211" s="85" t="str" cm="1">
        <f t="array" ref="C211">IFERROR(INDEX('03.Muestra'!$F$8:$F$42,SMALL(IF("Página Web"='03.Muestra'!$D$8:$D$42,ROW('03.Muestra'!$F$8:$F$42)-MIN(ROW('03.Muestra'!$D$8:$D$42))+1,""),ROW()-208)),"")</f>
        <v>https://www.comunidad.madrid/tacp/memorias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Buscador de resoluciones</v>
      </c>
      <c r="C212" s="85" t="str" cm="1">
        <f t="array" ref="C212">IFERROR(INDEX('03.Muestra'!$F$8:$F$42,SMALL(IF("Página Web"='03.Muestra'!$D$8:$D$42,ROW('03.Muestra'!$F$8:$F$42)-MIN(ROW('03.Muestra'!$D$8:$D$42))+1,""),ROW()-208)),"")</f>
        <v>https://www.comunidad.madrid/tacp/busquedaresoluciones</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Novedades</v>
      </c>
      <c r="C213" s="85" t="str" cm="1">
        <f t="array" ref="C213">IFERROR(INDEX('03.Muestra'!$F$8:$F$42,SMALL(IF("Página Web"='03.Muestra'!$D$8:$D$42,ROW('03.Muestra'!$F$8:$F$42)-MIN(ROW('03.Muestra'!$D$8:$D$42))+1,""),ROW()-208)),"")</f>
        <v>https://www.comunidad.madrid/tacp/novedades/publicacion-recursos-especiales-en-perfil-contratante</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https://www.comunidad.madrid/tacp/aviso-legal</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https://www.comunidad.madrid/tacp/accesibilidad</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Mapa Web</v>
      </c>
      <c r="C216" s="85" t="str" cm="1">
        <f t="array" ref="C216">IFERROR(INDEX('03.Muestra'!$F$8:$F$42,SMALL(IF("Página Web"='03.Muestra'!$D$8:$D$42,ROW('03.Muestra'!$F$8:$F$42)-MIN(ROW('03.Muestra'!$D$8:$D$42))+1,""),ROW()-208)),"")</f>
        <v>https://www.comunidad.madrid/tacp/sitemap</v>
      </c>
      <c r="D216" s="99" t="s">
        <v>104</v>
      </c>
      <c r="E216" s="79" t="str">
        <f t="shared" si="10"/>
        <v/>
      </c>
      <c r="F216" s="18"/>
      <c r="G216" s="18"/>
      <c r="H216" s="18"/>
      <c r="I216" s="18"/>
      <c r="J216" s="18"/>
      <c r="K216" s="184"/>
    </row>
    <row r="217" spans="1:11"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ref="D217:D243" si="11">IF(AND(B217&lt;&gt;"",C217&lt;&gt;""),"N/T","")</f>
        <v/>
      </c>
      <c r="E217" s="79" t="str">
        <f t="shared" si="10"/>
        <v/>
      </c>
      <c r="F217" s="18"/>
      <c r="G217" s="18"/>
      <c r="H217" s="18"/>
      <c r="I217" s="18"/>
      <c r="J217" s="18"/>
      <c r="K217" s="184"/>
    </row>
    <row r="218" spans="1:11"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4.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4" stopIfTrue="1" operator="equal">
      <formula>"Pasa"</formula>
    </cfRule>
    <cfRule type="cellIs" dxfId="113" priority="465" stopIfTrue="1" operator="equal">
      <formula>"Falla"</formula>
    </cfRule>
    <cfRule type="cellIs" dxfId="112" priority="473" stopIfTrue="1" operator="equal">
      <formula>"N/T"</formula>
    </cfRule>
    <cfRule type="cellIs" dxfId="111" priority="472" stopIfTrue="1" operator="equal">
      <formula>"N/A"</formula>
    </cfRule>
    <cfRule type="cellIs" dxfId="110" priority="471" stopIfTrue="1" operator="equal">
      <formula>"Falla"</formula>
    </cfRule>
    <cfRule type="cellIs" dxfId="109" priority="470" stopIfTrue="1" operator="equal">
      <formula>"Pasa"</formula>
    </cfRule>
    <cfRule type="expression" dxfId="108" priority="469" stopIfTrue="1">
      <formula>ISBLANK(D19)</formula>
    </cfRule>
    <cfRule type="cellIs" dxfId="107" priority="468" stopIfTrue="1" operator="equal">
      <formula>"N/D"</formula>
    </cfRule>
    <cfRule type="cellIs" dxfId="106" priority="467" stopIfTrue="1" operator="equal">
      <formula>"N/T"</formula>
    </cfRule>
    <cfRule type="cellIs" dxfId="105" priority="466" stopIfTrue="1" operator="equal">
      <formula>"N/A"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29" stopIfTrue="1" operator="equal">
      <formula>"Falla"</formula>
    </cfRule>
    <cfRule type="cellIs" dxfId="77" priority="430" stopIfTrue="1" operator="equal">
      <formula>"N/A"</formula>
    </cfRule>
    <cfRule type="cellIs" dxfId="76" priority="431" stopIfTrue="1" operator="equal">
      <formula>"N/T"</formula>
    </cfRule>
    <cfRule type="cellIs" dxfId="75" priority="432" stopIfTrue="1" operator="equal">
      <formula>"N/D"</formula>
    </cfRule>
    <cfRule type="expression" dxfId="74" priority="433" stopIfTrue="1">
      <formula>ISBLANK(D133)</formula>
    </cfRule>
    <cfRule type="cellIs" dxfId="73" priority="434" stopIfTrue="1" operator="equal">
      <formula>"Pasa"</formula>
    </cfRule>
    <cfRule type="cellIs" dxfId="72" priority="435" stopIfTrue="1" operator="equal">
      <formula>"Falla"</formula>
    </cfRule>
    <cfRule type="cellIs" dxfId="71" priority="436" stopIfTrue="1" operator="equal">
      <formula>"N/A"</formula>
    </cfRule>
    <cfRule type="cellIs" dxfId="70" priority="437" stopIfTrue="1" operator="equal">
      <formula>"N/T"</formula>
    </cfRule>
    <cfRule type="cellIs" dxfId="69" priority="438" stopIfTrue="1" operator="equal">
      <formula>"N/D"</formula>
    </cfRule>
    <cfRule type="expression" dxfId="68" priority="427" stopIfTrue="1">
      <formula>ISBLANK(D133)</formula>
    </cfRule>
    <cfRule type="cellIs" dxfId="67" priority="428"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65" zoomScale="102" zoomScaleNormal="102" workbookViewId="0">
      <selection activeCell="D171" sqref="D171:D178"/>
    </sheetView>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5" customHeight="1">
      <c r="B7" s="18"/>
      <c r="C7" s="18"/>
      <c r="D7" s="18"/>
      <c r="E7" s="79"/>
      <c r="F7" s="18"/>
      <c r="G7" s="18"/>
      <c r="H7" s="18"/>
      <c r="I7" s="18"/>
      <c r="J7" s="18"/>
      <c r="K7" s="18"/>
      <c r="L7" s="18"/>
      <c r="M7" s="18"/>
      <c r="N7" s="18"/>
      <c r="O7" s="18"/>
    </row>
    <row r="8" spans="1:64" ht="1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24</v>
      </c>
      <c r="H12" s="42">
        <f ca="1">IF(($G$15+$K$15)=0,0,G12/($G$15+$K$15))</f>
        <v>0.6</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8</v>
      </c>
      <c r="H13" s="42">
        <f ca="1">IF(($G$15+$K$15)=0,0,G13/($G$15+$K$15))</f>
        <v>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8</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https://www.comunidad.madrid/tacp</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Presentación electrónica</v>
      </c>
      <c r="C20" s="85" t="str" cm="1">
        <f t="array" ref="C20">IFERROR(INDEX('03.Muestra'!$F$8:$F$42,SMALL(IF("Página Web"='03.Muestra'!$D$8:$D$42,ROW('03.Muestra'!$F$8:$F$42)-MIN(ROW('03.Muestra'!$D$8:$D$42))+1,""),ROW()-18)),"")</f>
        <v>https://www.comunidad.madrid/tacp/el-tribunal/presentacion-electronica-e-impresos-normalizados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8</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Memorias</v>
      </c>
      <c r="C21" s="85" t="str" cm="1">
        <f t="array" ref="C21">IFERROR(INDEX('03.Muestra'!$F$8:$F$42,SMALL(IF("Página Web"='03.Muestra'!$D$8:$D$42,ROW('03.Muestra'!$F$8:$F$42)-MIN(ROW('03.Muestra'!$D$8:$D$42))+1,""),ROW()-18)),"")</f>
        <v>https://www.comunidad.madrid/tacp/memorias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Buscador de resoluciones</v>
      </c>
      <c r="C22" s="85" t="str" cm="1">
        <f t="array" ref="C22">IFERROR(INDEX('03.Muestra'!$F$8:$F$42,SMALL(IF("Página Web"='03.Muestra'!$D$8:$D$42,ROW('03.Muestra'!$F$8:$F$42)-MIN(ROW('03.Muestra'!$D$8:$D$42))+1,""),ROW()-18)),"")</f>
        <v>https://www.comunidad.madrid/tacp/busquedaresoluciones</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Novedades</v>
      </c>
      <c r="C23" s="85" t="str" cm="1">
        <f t="array" ref="C23">IFERROR(INDEX('03.Muestra'!$F$8:$F$42,SMALL(IF("Página Web"='03.Muestra'!$D$8:$D$42,ROW('03.Muestra'!$F$8:$F$42)-MIN(ROW('03.Muestra'!$D$8:$D$42))+1,""),ROW()-18)),"")</f>
        <v>https://www.comunidad.madrid/tacp/novedades/publicacion-recursos-especiales-en-perfil-contratante</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https://www.comunidad.madrid/tacp/aviso-legal</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https://www.comunidad.madrid/tacp/accesibilidad</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https://www.comunidad.madrid/tacp/sitemap</v>
      </c>
      <c r="D26" s="99" t="s">
        <v>92</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https://www.comunidad.madrid/tacp</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Presentación electrónica</v>
      </c>
      <c r="C58" s="85" t="str" cm="1">
        <f t="array" ref="C58">IFERROR(INDEX('03.Muestra'!$F$8:$F$42,SMALL(IF("Página Web"='03.Muestra'!$D$8:$D$42,ROW('03.Muestra'!$F$8:$F$42)-MIN(ROW('03.Muestra'!$D$8:$D$42))+1,""),ROW()-56)),"")</f>
        <v>https://www.comunidad.madrid/tacp/el-tribunal/presentacion-electronica-e-impresos-normalizados</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8</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Memorias</v>
      </c>
      <c r="C59" s="85" t="str" cm="1">
        <f t="array" ref="C59">IFERROR(INDEX('03.Muestra'!$F$8:$F$42,SMALL(IF("Página Web"='03.Muestra'!$D$8:$D$42,ROW('03.Muestra'!$F$8:$F$42)-MIN(ROW('03.Muestra'!$D$8:$D$42))+1,""),ROW()-56)),"")</f>
        <v>https://www.comunidad.madrid/tacp/memorias</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Buscador de resoluciones</v>
      </c>
      <c r="C60" s="85" t="str" cm="1">
        <f t="array" ref="C60">IFERROR(INDEX('03.Muestra'!$F$8:$F$42,SMALL(IF("Página Web"='03.Muestra'!$D$8:$D$42,ROW('03.Muestra'!$F$8:$F$42)-MIN(ROW('03.Muestra'!$D$8:$D$42))+1,""),ROW()-56)),"")</f>
        <v>https://www.comunidad.madrid/tacp/busquedaresoluciones</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Novedades</v>
      </c>
      <c r="C61" s="85" t="str" cm="1">
        <f t="array" ref="C61">IFERROR(INDEX('03.Muestra'!$F$8:$F$42,SMALL(IF("Página Web"='03.Muestra'!$D$8:$D$42,ROW('03.Muestra'!$F$8:$F$42)-MIN(ROW('03.Muestra'!$D$8:$D$42))+1,""),ROW()-56)),"")</f>
        <v>https://www.comunidad.madrid/tacp/novedades/publicacion-recursos-especiales-en-perfil-contratante</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https://www.comunidad.madrid/tacp/aviso-legal</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https://www.comunidad.madrid/tacp/accesibilidad</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https://www.comunidad.madrid/tacp/sitemap</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https://www.comunidad.madrid/tacp</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Presentación electrónica</v>
      </c>
      <c r="C96" s="85" t="str" cm="1">
        <f t="array" ref="C96">IFERROR(INDEX('03.Muestra'!$F$8:$F$42,SMALL(IF("Página Web"='03.Muestra'!$D$8:$D$42,ROW('03.Muestra'!$F$8:$F$42)-MIN(ROW('03.Muestra'!$D$8:$D$42))+1,""),ROW()-94)),"")</f>
        <v>https://www.comunidad.madrid/tacp/el-tribunal/presentacion-electronica-e-impresos-normalizados</v>
      </c>
      <c r="D96" s="99" t="s">
        <v>92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8</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Memorias</v>
      </c>
      <c r="C97" s="85" t="str" cm="1">
        <f t="array" ref="C97">IFERROR(INDEX('03.Muestra'!$F$8:$F$42,SMALL(IF("Página Web"='03.Muestra'!$D$8:$D$42,ROW('03.Muestra'!$F$8:$F$42)-MIN(ROW('03.Muestra'!$D$8:$D$42))+1,""),ROW()-94)),"")</f>
        <v>https://www.comunidad.madrid/tacp/memorias</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Buscador de resoluciones</v>
      </c>
      <c r="C98" s="85" t="str" cm="1">
        <f t="array" ref="C98">IFERROR(INDEX('03.Muestra'!$F$8:$F$42,SMALL(IF("Página Web"='03.Muestra'!$D$8:$D$42,ROW('03.Muestra'!$F$8:$F$42)-MIN(ROW('03.Muestra'!$D$8:$D$42))+1,""),ROW()-94)),"")</f>
        <v>https://www.comunidad.madrid/tacp/busquedaresoluciones</v>
      </c>
      <c r="D98" s="99" t="s">
        <v>92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Novedades</v>
      </c>
      <c r="C99" s="85" t="str" cm="1">
        <f t="array" ref="C99">IFERROR(INDEX('03.Muestra'!$F$8:$F$42,SMALL(IF("Página Web"='03.Muestra'!$D$8:$D$42,ROW('03.Muestra'!$F$8:$F$42)-MIN(ROW('03.Muestra'!$D$8:$D$42))+1,""),ROW()-94)),"")</f>
        <v>https://www.comunidad.madrid/tacp/novedades/publicacion-recursos-especiales-en-perfil-contratante</v>
      </c>
      <c r="D99" s="99" t="s">
        <v>92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https://www.comunidad.madrid/tacp/aviso-legal</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https://www.comunidad.madrid/tacp/accesibilidad</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https://www.comunidad.madrid/tacp/sitemap</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https://www.comunidad.madrid/tacp</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Presentación electrónica</v>
      </c>
      <c r="C134" s="85" t="str" cm="1">
        <f t="array" ref="C134">IFERROR(INDEX('03.Muestra'!$F$8:$F$42,SMALL(IF("Página Web"='03.Muestra'!$D$8:$D$42,ROW('03.Muestra'!$F$8:$F$42)-MIN(ROW('03.Muestra'!$D$8:$D$42))+1,""),ROW()-132)),"")</f>
        <v>https://www.comunidad.madrid/tacp/el-tribunal/presentacion-electronica-e-impresos-normalizados</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8</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Memorias</v>
      </c>
      <c r="C135" s="85" t="str" cm="1">
        <f t="array" ref="C135">IFERROR(INDEX('03.Muestra'!$F$8:$F$42,SMALL(IF("Página Web"='03.Muestra'!$D$8:$D$42,ROW('03.Muestra'!$F$8:$F$42)-MIN(ROW('03.Muestra'!$D$8:$D$42))+1,""),ROW()-132)),"")</f>
        <v>https://www.comunidad.madrid/tacp/memorias</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Buscador de resoluciones</v>
      </c>
      <c r="C136" s="85" t="str" cm="1">
        <f t="array" ref="C136">IFERROR(INDEX('03.Muestra'!$F$8:$F$42,SMALL(IF("Página Web"='03.Muestra'!$D$8:$D$42,ROW('03.Muestra'!$F$8:$F$42)-MIN(ROW('03.Muestra'!$D$8:$D$42))+1,""),ROW()-132)),"")</f>
        <v>https://www.comunidad.madrid/tacp/busquedaresoluciones</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Novedades</v>
      </c>
      <c r="C137" s="85" t="str" cm="1">
        <f t="array" ref="C137">IFERROR(INDEX('03.Muestra'!$F$8:$F$42,SMALL(IF("Página Web"='03.Muestra'!$D$8:$D$42,ROW('03.Muestra'!$F$8:$F$42)-MIN(ROW('03.Muestra'!$D$8:$D$42))+1,""),ROW()-132)),"")</f>
        <v>https://www.comunidad.madrid/tacp/novedades/publicacion-recursos-especiales-en-perfil-contratante</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https://www.comunidad.madrid/tacp/aviso-legal</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https://www.comunidad.madrid/tacp/accesibilidad</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https://www.comunidad.madrid/tacp/sitemap</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https://www.comunidad.madrid/tacp</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Presentación electrónica</v>
      </c>
      <c r="C172" s="85" t="str" cm="1">
        <f t="array" ref="C172">IFERROR(INDEX('03.Muestra'!$F$8:$F$42,SMALL(IF("Página Web"='03.Muestra'!$D$8:$D$42,ROW('03.Muestra'!$F$8:$F$42)-MIN(ROW('03.Muestra'!$D$8:$D$42))+1,""),ROW()-170)),"")</f>
        <v>https://www.comunidad.madrid/tacp/el-tribunal/presentacion-electronica-e-impresos-normalizados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Memorias</v>
      </c>
      <c r="C173" s="85" t="str" cm="1">
        <f t="array" ref="C173">IFERROR(INDEX('03.Muestra'!$F$8:$F$42,SMALL(IF("Página Web"='03.Muestra'!$D$8:$D$42,ROW('03.Muestra'!$F$8:$F$42)-MIN(ROW('03.Muestra'!$D$8:$D$42))+1,""),ROW()-170)),"")</f>
        <v>https://www.comunidad.madrid/tacp/memorias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Buscador de resoluciones</v>
      </c>
      <c r="C174" s="85" t="str" cm="1">
        <f t="array" ref="C174">IFERROR(INDEX('03.Muestra'!$F$8:$F$42,SMALL(IF("Página Web"='03.Muestra'!$D$8:$D$42,ROW('03.Muestra'!$F$8:$F$42)-MIN(ROW('03.Muestra'!$D$8:$D$42))+1,""),ROW()-170)),"")</f>
        <v>https://www.comunidad.madrid/tacp/busquedaresoluciones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Novedades</v>
      </c>
      <c r="C175" s="85" t="str" cm="1">
        <f t="array" ref="C175">IFERROR(INDEX('03.Muestra'!$F$8:$F$42,SMALL(IF("Página Web"='03.Muestra'!$D$8:$D$42,ROW('03.Muestra'!$F$8:$F$42)-MIN(ROW('03.Muestra'!$D$8:$D$42))+1,""),ROW()-170)),"")</f>
        <v>https://www.comunidad.madrid/tacp/novedades/publicacion-recursos-especiales-en-perfil-contratante</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https://www.comunidad.madrid/tacp/aviso-legal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https://www.comunidad.madrid/tacp/accesibilidad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https://www.comunidad.madrid/tacp/sitemap</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5" zoomScale="70" zoomScaleNormal="70" workbookViewId="0">
      <selection activeCell="N2" sqref="N2"/>
    </sheetView>
  </sheetViews>
  <sheetFormatPr baseColWidth="10" defaultColWidth="11.453125" defaultRowHeight="12.5"/>
  <cols>
    <col min="1" max="1" width="3.1796875" style="14" customWidth="1"/>
    <col min="2" max="2" width="9.1796875" style="84" customWidth="1"/>
    <col min="3" max="3" width="18.453125" style="27" customWidth="1"/>
    <col min="4" max="4" width="59.36328125" style="14" customWidth="1"/>
    <col min="5" max="29" width="16.453125" style="14" customWidth="1"/>
    <col min="30" max="106" width="19.453125" style="14" customWidth="1"/>
    <col min="107" max="16384" width="11.45312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9" t="s">
        <v>253</v>
      </c>
      <c r="L6" s="239"/>
      <c r="M6" s="239"/>
      <c r="N6" s="48"/>
      <c r="O6" s="239" t="s">
        <v>254</v>
      </c>
      <c r="P6" s="239"/>
      <c r="Q6" s="239"/>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40" t="s">
        <v>86</v>
      </c>
      <c r="D7" s="241"/>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42" t="s">
        <v>262</v>
      </c>
      <c r="D8" s="243"/>
      <c r="E8" s="38" t="str">
        <f ca="1">CONCATENATE(COUNTIF(E55:CR55,"CONFORME")," (",ROUND(COUNTIF(E55:CR55,"CONFORME")*100/COUNTA($E$19:CR$19),2)," %)")</f>
        <v>21 (22,83 %)</v>
      </c>
      <c r="F8" s="38" t="str">
        <f ca="1">CONCATENATE(COUNTIF(E55:CR55,"NO CONFORME")," (",ROUND(COUNTIF(E55:CR55,"NO CONFORME")*100/COUNTA($E$19:CR$19),2)," %)")</f>
        <v>16 (17,39 %)</v>
      </c>
      <c r="G8" s="39" t="str">
        <f ca="1">CONCATENATE(COUNTIF(E55:CR55,"N/A")," (",ROUND(COUNTIF(E55:CR55,"N/A")*100/COUNTA($E$19:CR$19),2)," %)")</f>
        <v>55 (59,78 %)</v>
      </c>
      <c r="H8" s="39">
        <f ca="1">COUNTIF(E55:CR55,"ERROR")</f>
        <v>0</v>
      </c>
      <c r="I8" s="40">
        <f ca="1">COUNTIF(E55:CR55,"EN CURSO")</f>
        <v>0</v>
      </c>
      <c r="J8" s="187">
        <f ca="1">SUM(VALUE(LEFT(E8,SEARCH(" ",E8)-1)),VALUE(LEFT(F8,SEARCH(" ",F8)-1)))</f>
        <v>37</v>
      </c>
      <c r="K8" s="41" t="s">
        <v>263</v>
      </c>
      <c r="L8" s="38">
        <f ca="1">COUNTIF( $E$20:INDIRECT("$CR$" &amp;  SUM(19,COUNTIFS(B20:B54,"&lt;&gt;"))),"Pasa")+ COUNTIF($E$61:INDIRECT("$AW$" &amp;  SUM(60,COUNTIFS(B61:B95,"&lt;&gt;"))),"Pasa")</f>
        <v>202</v>
      </c>
      <c r="M8" s="42">
        <f ca="1">IF(($L$11+$P$11)=0,0,L8/($L$11+$P$11))</f>
        <v>0.27445652173913043</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8" t="s">
        <v>264</v>
      </c>
      <c r="D9" s="249"/>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72</v>
      </c>
      <c r="M9" s="42">
        <f ca="1">IF(($L$11+$P$11)=0,0,L9/($L$11+$P$11))</f>
        <v>9.7826086956521743E-2</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53" t="s">
        <v>265</v>
      </c>
      <c r="D10" s="254"/>
      <c r="E10" s="192" t="str">
        <f ca="1">CONCATENATE(ROUND(E11/137*100,2)," %")</f>
        <v>15,33 %</v>
      </c>
      <c r="F10" s="192" t="str">
        <f ca="1">CONCATENATE(ROUND(F11/137*100,2)," %")</f>
        <v>11,68 %</v>
      </c>
      <c r="G10" s="192" t="str">
        <f ca="1">CONCATENATE(ROUND(G11/137*100,2)," %")</f>
        <v>72,99 %</v>
      </c>
      <c r="H10" s="192" t="str">
        <f ca="1">CONCATENATE(ROUND(H11/137*100,2)," %")</f>
        <v>0 %</v>
      </c>
      <c r="I10" s="194" t="str">
        <f ca="1">CONCATENATE(ROUND(I11/137*100,2)," %")</f>
        <v>0 %</v>
      </c>
      <c r="J10" s="195"/>
      <c r="K10" s="41" t="s">
        <v>97</v>
      </c>
      <c r="L10" s="38">
        <f ca="1">COUNTIF( $E$20:INDIRECT("$CR$" &amp;  SUM(19,COUNTIFS(B20:B54,"&lt;&gt;"))),"N/A")+COUNTIF($E$61:INDIRECT("$AW$" &amp;  SUM(60,COUNTIFS(B61:B95,"&lt;&gt;"))),"N/A")</f>
        <v>462</v>
      </c>
      <c r="M10" s="42">
        <f ca="1">IF(($L$11+$P$11)=0,0,L10/($L$11+$P$11))</f>
        <v>0.62771739130434778</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7"/>
      <c r="D11" s="247"/>
      <c r="E11" s="193">
        <f ca="1">SUM(VALUE(LEFT(E8,SEARCH(" ",E8)-1)),VALUE(LEFT(E9,SEARCH(" ",E9)-1)))</f>
        <v>21</v>
      </c>
      <c r="F11" s="193">
        <f ca="1">SUM(VALUE(LEFT(F8,SEARCH(" ",F8)-1)),VALUE(LEFT(F9,SEARCH(" ",F9)-1)))</f>
        <v>16</v>
      </c>
      <c r="G11" s="193">
        <f ca="1">SUM(VALUE(LEFT(G8,SEARCH(" ",G8)-1)),VALUE(LEFT(G9,SEARCH(" ",G9)-1)))</f>
        <v>100</v>
      </c>
      <c r="H11" s="193">
        <f ca="1">SUM(H8:H9)</f>
        <v>0</v>
      </c>
      <c r="I11" s="193">
        <f ca="1">SUM(I8:I9)</f>
        <v>0</v>
      </c>
      <c r="K11" s="43" t="s">
        <v>266</v>
      </c>
      <c r="L11" s="203">
        <f ca="1">SUM(L8:L10)</f>
        <v>736</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50" t="s">
        <v>268</v>
      </c>
      <c r="G13" s="251"/>
      <c r="H13" s="251"/>
      <c r="I13" s="252"/>
      <c r="J13" s="18"/>
      <c r="K13" s="250" t="s">
        <v>269</v>
      </c>
      <c r="L13" s="252"/>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44">
        <f ca="1">IF(AND(D14&lt;&gt;"Evaluación en curso",D14&lt;&gt;"Evaluación con errores",D14&lt;&gt;""), IF(J8=0,"", ROUND(((COUNT(B20:B54)/(COUNT(B20:B54)+COUNT(B61:B95)))*IF(J8=0,0,LEFT(E8,SEARCH(" ",E8)-1)/J8)+(COUNT(B61:B95)/(COUNT(B20:B54)+COUNT(B61:B95)))*IF(J9=0,0,LEFT(E9,SEARCH(" ",E9)-1)/J9))*10,2)),"")</f>
        <v>5.68</v>
      </c>
      <c r="G14" s="245"/>
      <c r="H14" s="245"/>
      <c r="I14" s="246"/>
      <c r="J14" s="18"/>
      <c r="K14" s="244" t="str">
        <f>'03.Muestra'!D52</f>
        <v>SI</v>
      </c>
      <c r="L14" s="246"/>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35" t="s">
        <v>262</v>
      </c>
      <c r="C17" s="236"/>
      <c r="D17" s="237"/>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32" t="s">
        <v>270</v>
      </c>
      <c r="C18" s="233"/>
      <c r="D18" s="234"/>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5">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https://www.comunidad.madrid/tacp</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Pasa</v>
      </c>
      <c r="AP20" s="75" t="str" cm="1">
        <f t="array" aca="1" ref="AP20" ca="1">IF($B20="","",IF(ISBLANK(INDIRECT("R9.Web!D"&amp;SUM(18,38*6,1))),"",INDIRECT("R9.Web!D"&amp;SUM(18,38*6,1))))</f>
        <v>Falla</v>
      </c>
      <c r="AQ20" s="75" t="str" cm="1">
        <f t="array" aca="1" ref="AQ20" ca="1">IF($B20="","",IF(ISBLANK(INDIRECT("R9.Web!D"&amp;SUM(18,38*7,1))),"",INDIRECT("R9.Web!D"&amp;SUM(18,38*7,1))))</f>
        <v>Pasa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Falla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Pasa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Pasa</v>
      </c>
      <c r="BC20" s="75" t="str" cm="1">
        <f t="array" aca="1" ref="BC20" ca="1">IF($B20="","",IF(ISBLANK(INDIRECT("R9.Web!D"&amp;SUM(18,38*19,1))),"",INDIRECT("R9.Web!D"&amp;SUM(18,38*19,1))))</f>
        <v>Falla</v>
      </c>
      <c r="BD20" s="75" t="str" cm="1">
        <f t="array" aca="1" ref="BD20" ca="1">IF($B20="","",IF(ISBLANK(INDIRECT("R9.Web!D"&amp;SUM(18,38*20,1))),"",INDIRECT("R9.Web!D"&amp;SUM(18,38*20,1))))</f>
        <v>Falla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N/A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N/A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5">
      <c r="B21" s="39" cm="1">
        <f t="array" ref="B21">IFERROR(INDEX('03.Muestra'!$B$8:$B$42,SMALL(IF("Página Web"='03.Muestra'!$D$8:$D$42,ROW('03.Muestra'!$B$8:$B$42)-MIN(ROW('03.Muestra'!$D$8:$D$42))+1,""),ROW()-19)),"")</f>
        <v>2</v>
      </c>
      <c r="C21" s="73" t="str" cm="1">
        <f t="array" ref="C21">IFERROR(INDEX('03.Muestra'!$C$8:$C$42,SMALL(IF("Página Web"='03.Muestra'!$D$8:$D$42,ROW('03.Muestra'!$C$8:$C$42)-MIN(ROW('03.Muestra'!$D$8:$D$42))+1,""),ROW()-19)),"")</f>
        <v>Presentación electrónica</v>
      </c>
      <c r="D21" s="74" t="str" cm="1">
        <f t="array" ref="D21">IFERROR(INDEX('03.Muestra'!$F$8:$F$42,SMALL(IF("Página Web"='03.Muestra'!$D$8:$D$42,ROW('03.Muestra'!$F$8:$F$42)-MIN(ROW('03.Muestra'!$D$8:$D$42))+1,""),ROW()-19)),"")</f>
        <v>https://www.comunidad.madrid/tacp/el-tribunal/presentacion-electronica-e-impresos-normalizados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Pasa</v>
      </c>
      <c r="AP21" s="75" t="str" cm="1">
        <f t="array" aca="1" ref="AP21" ca="1">IF($B21="","",IF(ISBLANK(INDIRECT("R9.Web!D"&amp;SUM(18,38*6,2))),"",INDIRECT("R9.Web!D"&amp;SUM(18,38*6,2))))</f>
        <v>Falla</v>
      </c>
      <c r="AQ21" s="75" t="str" cm="1">
        <f t="array" aca="1" ref="AQ21" ca="1">IF($B21="","",IF(ISBLANK(INDIRECT("R9.Web!D"&amp;SUM(18,38*7,2))),"",INDIRECT("R9.Web!D"&amp;SUM(18,38*7,2))))</f>
        <v>Pasa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Falla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Pasa</v>
      </c>
      <c r="BC21" s="75" t="str" cm="1">
        <f t="array" aca="1" ref="BC21" ca="1">IF($B21="","",IF(ISBLANK(INDIRECT("R9.Web!D"&amp;SUM(18,38*19,2))),"",INDIRECT("R9.Web!D"&amp;SUM(18,38*19,2))))</f>
        <v>Falla</v>
      </c>
      <c r="BD21" s="75" t="str" cm="1">
        <f t="array" aca="1" ref="BD21" ca="1">IF($B21="","",IF(ISBLANK(INDIRECT("R9.Web!D"&amp;SUM(18,38*20,2))),"",INDIRECT("R9.Web!D"&amp;SUM(18,38*20,2))))</f>
        <v>Falla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N/A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N/A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5">
      <c r="B22" s="39" cm="1">
        <f t="array" ref="B22">IFERROR(INDEX('03.Muestra'!$B$8:$B$42,SMALL(IF("Página Web"='03.Muestra'!$D$8:$D$42,ROW('03.Muestra'!$B$8:$B$42)-MIN(ROW('03.Muestra'!$D$8:$D$42))+1,""),ROW()-19)),"")</f>
        <v>3</v>
      </c>
      <c r="C22" s="73" t="str" cm="1">
        <f t="array" ref="C22">IFERROR(INDEX('03.Muestra'!$C$8:$C$42,SMALL(IF("Página Web"='03.Muestra'!$D$8:$D$42,ROW('03.Muestra'!$C$8:$C$42)-MIN(ROW('03.Muestra'!$D$8:$D$42))+1,""),ROW()-19)),"")</f>
        <v>Memorias</v>
      </c>
      <c r="D22" s="74" t="str" cm="1">
        <f t="array" ref="D22">IFERROR(INDEX('03.Muestra'!$F$8:$F$42,SMALL(IF("Página Web"='03.Muestra'!$D$8:$D$42,ROW('03.Muestra'!$F$8:$F$42)-MIN(ROW('03.Muestra'!$D$8:$D$42))+1,""),ROW()-19)),"")</f>
        <v>https://www.comunidad.madrid/tacp/memorias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Falla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Pasa</v>
      </c>
      <c r="AP22" s="75" t="str" cm="1">
        <f t="array" aca="1" ref="AP22" ca="1">IF($B22="","",IF(ISBLANK(INDIRECT("R9.Web!D"&amp;SUM(18,38*6,3))),"",INDIRECT("R9.Web!D"&amp;SUM(18,38*6,3))))</f>
        <v>Falla</v>
      </c>
      <c r="AQ22" s="75" t="str" cm="1">
        <f t="array" aca="1" ref="AQ22" ca="1">IF($B22="","",IF(ISBLANK(INDIRECT("R9.Web!D"&amp;SUM(18,38*7,3))),"",INDIRECT("R9.Web!D"&amp;SUM(18,38*7,3))))</f>
        <v>Pasa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Falla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Pasa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Pasa</v>
      </c>
      <c r="BC22" s="75" t="str" cm="1">
        <f t="array" aca="1" ref="BC22" ca="1">IF($B22="","",IF(ISBLANK(INDIRECT("R9.Web!D"&amp;SUM(18,38*19,3))),"",INDIRECT("R9.Web!D"&amp;SUM(18,38*19,3))))</f>
        <v>Falla</v>
      </c>
      <c r="BD22" s="75" t="str" cm="1">
        <f t="array" aca="1" ref="BD22" ca="1">IF($B22="","",IF(ISBLANK(INDIRECT("R9.Web!D"&amp;SUM(18,38*20,3))),"",INDIRECT("R9.Web!D"&amp;SUM(18,38*20,3))))</f>
        <v>Falla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N/A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N/A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N/A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5">
      <c r="B23" s="39" cm="1">
        <f t="array" ref="B23">IFERROR(INDEX('03.Muestra'!$B$8:$B$42,SMALL(IF("Página Web"='03.Muestra'!$D$8:$D$42,ROW('03.Muestra'!$B$8:$B$42)-MIN(ROW('03.Muestra'!$D$8:$D$42))+1,""),ROW()-19)),"")</f>
        <v>4</v>
      </c>
      <c r="C23" s="73" t="str" cm="1">
        <f t="array" ref="C23">IFERROR(INDEX('03.Muestra'!$C$8:$C$42,SMALL(IF("Página Web"='03.Muestra'!$D$8:$D$42,ROW('03.Muestra'!$C$8:$C$42)-MIN(ROW('03.Muestra'!$D$8:$D$42))+1,""),ROW()-19)),"")</f>
        <v>Buscador de resoluciones</v>
      </c>
      <c r="D23" s="74" t="str" cm="1">
        <f t="array" ref="D23">IFERROR(INDEX('03.Muestra'!$F$8:$F$42,SMALL(IF("Página Web"='03.Muestra'!$D$8:$D$42,ROW('03.Muestra'!$F$8:$F$42)-MIN(ROW('03.Muestra'!$D$8:$D$42))+1,""),ROW()-19)),"")</f>
        <v>https://www.comunidad.madrid/tacp/busquedaresoluciones</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Pasa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Falla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Pasa</v>
      </c>
      <c r="BC23" s="75" t="str" cm="1">
        <f t="array" aca="1" ref="BC23" ca="1">IF($B23="","",IF(ISBLANK(INDIRECT("R9.Web!D"&amp;SUM(18,38*19,4))),"",INDIRECT("R9.Web!D"&amp;SUM(18,38*19,4))))</f>
        <v>Falla</v>
      </c>
      <c r="BD23" s="75" t="str" cm="1">
        <f t="array" aca="1" ref="BD23" ca="1">IF($B23="","",IF(ISBLANK(INDIRECT("R9.Web!D"&amp;SUM(18,38*20,4))),"",INDIRECT("R9.Web!D"&amp;SUM(18,38*20,4))))</f>
        <v>Falla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Falla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Falla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Falla</v>
      </c>
      <c r="CF23" s="75" t="str" cm="1">
        <f t="array" aca="1" ref="CF23" ca="1">IF($B23="","",IF(ISBLANK(INDIRECT("R9.Web!D"&amp;SUM(18,38*48,4))),"",INDIRECT("R9.Web!D"&amp;SUM(18,38*48,4))))</f>
        <v>Pasa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5">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Novedades</v>
      </c>
      <c r="D24" s="74" t="str" cm="1">
        <f t="array" ref="D24">IFERROR(INDEX('03.Muestra'!$F$8:$F$42,SMALL(IF("Página Web"='03.Muestra'!$D$8:$D$42,ROW('03.Muestra'!$F$8:$F$42)-MIN(ROW('03.Muestra'!$D$8:$D$42))+1,""),ROW()-19)),"")</f>
        <v>https://www.comunidad.madrid/tacp/novedades/publicacion-recursos-especiales-en-perfil-contratante</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Falla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Pasa</v>
      </c>
      <c r="AP24" s="75" t="str" cm="1">
        <f t="array" aca="1" ref="AP24" ca="1">IF($B24="","",IF(ISBLANK(INDIRECT("R9.Web!D"&amp;SUM(18,38*6,5))),"",INDIRECT("R9.Web!D"&amp;SUM(18,38*6,5))))</f>
        <v>Falla</v>
      </c>
      <c r="AQ24" s="75" t="str" cm="1">
        <f t="array" aca="1" ref="AQ24" ca="1">IF($B24="","",IF(ISBLANK(INDIRECT("R9.Web!D"&amp;SUM(18,38*7,5))),"",INDIRECT("R9.Web!D"&amp;SUM(18,38*7,5))))</f>
        <v>Pasa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Falla</v>
      </c>
      <c r="AW24" s="75" t="str" cm="1">
        <f t="array" aca="1" ref="AW24" ca="1">IF($B24="","",IF(ISBLANK(INDIRECT("R9.Web!D"&amp;SUM(18,38*13,5))),"",INDIRECT("R9.Web!D"&amp;SUM(18,38*13,5))))</f>
        <v>Pasa</v>
      </c>
      <c r="AX24" s="75" t="str" cm="1">
        <f t="array" aca="1" ref="AX24" ca="1">IF($B24="","",IF(ISBLANK(INDIRECT("R9.Web!D"&amp;SUM(18,38*14,5))),"",INDIRECT("R9.Web!D"&amp;SUM(18,38*14,5))))</f>
        <v>N/A</v>
      </c>
      <c r="AY24" s="75" t="str" cm="1">
        <f t="array" aca="1" ref="AY24" ca="1">IF($B24="","",IF(ISBLANK(INDIRECT("R9.Web!D"&amp;SUM(18,38*15,5))),"",INDIRECT("R9.Web!D"&amp;SUM(18,38*15,5))))</f>
        <v>Pasa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Pasa</v>
      </c>
      <c r="BC24" s="75" t="str" cm="1">
        <f t="array" aca="1" ref="BC24" ca="1">IF($B24="","",IF(ISBLANK(INDIRECT("R9.Web!D"&amp;SUM(18,38*19,5))),"",INDIRECT("R9.Web!D"&amp;SUM(18,38*19,5))))</f>
        <v>Falla</v>
      </c>
      <c r="BD24" s="75" t="str" cm="1">
        <f t="array" aca="1" ref="BD24" ca="1">IF($B24="","",IF(ISBLANK(INDIRECT("R9.Web!D"&amp;SUM(18,38*20,5))),"",INDIRECT("R9.Web!D"&amp;SUM(18,38*20,5))))</f>
        <v>Falla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N/A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5">
      <c r="B25" s="39" cm="1">
        <f t="array" ref="B25">IFERROR(INDEX('03.Muestra'!$B$8:$B$42,SMALL(IF("Página Web"='03.Muestra'!$D$8:$D$42,ROW('03.Muestra'!$B$8:$B$42)-MIN(ROW('03.Muestra'!$D$8:$D$42))+1,""),ROW()-19)),"")</f>
        <v>6</v>
      </c>
      <c r="C25" s="73" t="str" cm="1">
        <f t="array" ref="C25">IFERROR(INDEX('03.Muestra'!$C$8:$C$42,SMALL(IF("Página Web"='03.Muestra'!$D$8:$D$42,ROW('03.Muestra'!$C$8:$C$42)-MIN(ROW('03.Muestra'!$D$8:$D$42))+1,""),ROW()-19)),"")</f>
        <v>Aviso Legal</v>
      </c>
      <c r="D25" s="74" t="str" cm="1">
        <f t="array" ref="D25">IFERROR(INDEX('03.Muestra'!$F$8:$F$42,SMALL(IF("Página Web"='03.Muestra'!$D$8:$D$42,ROW('03.Muestra'!$F$8:$F$42)-MIN(ROW('03.Muestra'!$D$8:$D$42))+1,""),ROW()-19)),"")</f>
        <v>https://www.comunidad.madrid/tacp/aviso-legal</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Pasa</v>
      </c>
      <c r="AP25" s="75" t="str" cm="1">
        <f t="array" aca="1" ref="AP25" ca="1">IF($B25="","",IF(ISBLANK(INDIRECT("R9.Web!D"&amp;SUM(18,38*6,6))),"",INDIRECT("R9.Web!D"&amp;SUM(18,38*6,6))))</f>
        <v>Pasa</v>
      </c>
      <c r="AQ25" s="75" t="str" cm="1">
        <f t="array" aca="1" ref="AQ25" ca="1">IF($B25="","",IF(ISBLANK(INDIRECT("R9.Web!D"&amp;SUM(18,38*7,6))),"",INDIRECT("R9.Web!D"&amp;SUM(18,38*7,6))))</f>
        <v>Pasa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Pasa</v>
      </c>
      <c r="AX25" s="75" t="str" cm="1">
        <f t="array" aca="1" ref="AX25" ca="1">IF($B25="","",IF(ISBLANK(INDIRECT("R9.Web!D"&amp;SUM(18,38*14,6))),"",INDIRECT("R9.Web!D"&amp;SUM(18,38*14,6))))</f>
        <v>N/A</v>
      </c>
      <c r="AY25" s="75" t="str" cm="1">
        <f t="array" aca="1" ref="AY25" ca="1">IF($B25="","",IF(ISBLANK(INDIRECT("R9.Web!D"&amp;SUM(18,38*15,6))),"",INDIRECT("R9.Web!D"&amp;SUM(18,38*15,6))))</f>
        <v>Pasa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Pasa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N/A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5">
      <c r="B26" s="39" cm="1">
        <f t="array" ref="B26">IFERROR(INDEX('03.Muestra'!$B$8:$B$42,SMALL(IF("Página Web"='03.Muestra'!$D$8:$D$42,ROW('03.Muestra'!$B$8:$B$42)-MIN(ROW('03.Muestra'!$D$8:$D$42))+1,""),ROW()-19)),"")</f>
        <v>7</v>
      </c>
      <c r="C26" s="73" t="str" cm="1">
        <f t="array" ref="C26">IFERROR(INDEX('03.Muestra'!$C$8:$C$42,SMALL(IF("Página Web"='03.Muestra'!$D$8:$D$42,ROW('03.Muestra'!$C$8:$C$42)-MIN(ROW('03.Muestra'!$D$8:$D$42))+1,""),ROW()-19)),"")</f>
        <v>Accesibilidad</v>
      </c>
      <c r="D26" s="74" t="str" cm="1">
        <f t="array" ref="D26">IFERROR(INDEX('03.Muestra'!$F$8:$F$42,SMALL(IF("Página Web"='03.Muestra'!$D$8:$D$42,ROW('03.Muestra'!$F$8:$F$42)-MIN(ROW('03.Muestra'!$D$8:$D$42))+1,""),ROW()-19)),"")</f>
        <v>https://www.comunidad.madrid/tacp/accesibilidad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Pasa</v>
      </c>
      <c r="AQ26" s="75" t="str" cm="1">
        <f t="array" aca="1" ref="AQ26" ca="1">IF($B26="","",IF(ISBLANK(INDIRECT("R9.Web!D"&amp;SUM(18,38*7,7))),"",INDIRECT("R9.Web!D"&amp;SUM(18,38*7,7))))</f>
        <v>Pasa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Pasa</v>
      </c>
      <c r="AZ26" s="75" t="str" cm="1">
        <f t="array" aca="1" ref="AZ26" ca="1">IF($B26="","",IF(ISBLANK(INDIRECT("R9.Web!D"&amp;SUM(18,38*16,7))),"",INDIRECT("R9.Web!D"&amp;SUM(18,38*16,7))))</f>
        <v>Falla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Pasa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Falla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N/A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N/A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N/A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5">
      <c r="B27" s="39" cm="1">
        <f t="array" ref="B27">IFERROR(INDEX('03.Muestra'!$B$8:$B$42,SMALL(IF("Página Web"='03.Muestra'!$D$8:$D$42,ROW('03.Muestra'!$B$8:$B$42)-MIN(ROW('03.Muestra'!$D$8:$D$42))+1,""),ROW()-19)),"")</f>
        <v>8</v>
      </c>
      <c r="C27" s="73" t="str" cm="1">
        <f t="array" ref="C27">IFERROR(INDEX('03.Muestra'!$C$8:$C$42,SMALL(IF("Página Web"='03.Muestra'!$D$8:$D$42,ROW('03.Muestra'!$C$8:$C$42)-MIN(ROW('03.Muestra'!$D$8:$D$42))+1,""),ROW()-19)),"")</f>
        <v>Mapa Web</v>
      </c>
      <c r="D27" s="74" t="str" cm="1">
        <f t="array" ref="D27">IFERROR(INDEX('03.Muestra'!$F$8:$F$42,SMALL(IF("Página Web"='03.Muestra'!$D$8:$D$42,ROW('03.Muestra'!$F$8:$F$42)-MIN(ROW('03.Muestra'!$D$8:$D$42))+1,""),ROW()-19)),"")</f>
        <v>https://www.comunidad.madrid/tacp/sitemap</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N/A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Pasa</v>
      </c>
      <c r="AP27" s="75" t="str" cm="1">
        <f t="array" aca="1" ref="AP27" ca="1">IF($B27="","",IF(ISBLANK(INDIRECT("R9.Web!D"&amp;SUM(18,38*6,8))),"",INDIRECT("R9.Web!D"&amp;SUM(18,38*6,8))))</f>
        <v>Falla</v>
      </c>
      <c r="AQ27" s="75" t="str" cm="1">
        <f t="array" aca="1" ref="AQ27" ca="1">IF($B27="","",IF(ISBLANK(INDIRECT("R9.Web!D"&amp;SUM(18,38*7,8))),"",INDIRECT("R9.Web!D"&amp;SUM(18,38*7,8))))</f>
        <v>Pasa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Falla</v>
      </c>
      <c r="AW27" s="75" t="str" cm="1">
        <f t="array" aca="1" ref="AW27" ca="1">IF($B27="","",IF(ISBLANK(INDIRECT("R9.Web!D"&amp;SUM(18,38*13,8))),"",INDIRECT("R9.Web!D"&amp;SUM(18,38*13,8))))</f>
        <v>Pasa</v>
      </c>
      <c r="AX27" s="75" t="str" cm="1">
        <f t="array" aca="1" ref="AX27" ca="1">IF($B27="","",IF(ISBLANK(INDIRECT("R9.Web!D"&amp;SUM(18,38*14,8))),"",INDIRECT("R9.Web!D"&amp;SUM(18,38*14,8))))</f>
        <v>N/A</v>
      </c>
      <c r="AY27" s="75" t="str" cm="1">
        <f t="array" aca="1" ref="AY27" ca="1">IF($B27="","",IF(ISBLANK(INDIRECT("R9.Web!D"&amp;SUM(18,38*15,8))),"",INDIRECT("R9.Web!D"&amp;SUM(18,38*15,8))))</f>
        <v>Pasa</v>
      </c>
      <c r="AZ27" s="75" t="str" cm="1">
        <f t="array" aca="1" ref="AZ27" ca="1">IF($B27="","",IF(ISBLANK(INDIRECT("R9.Web!D"&amp;SUM(18,38*16,8))),"",INDIRECT("R9.Web!D"&amp;SUM(18,38*16,8))))</f>
        <v>Falla</v>
      </c>
      <c r="BA27" s="75" t="str" cm="1">
        <f t="array" aca="1" ref="BA27" ca="1">IF($B27="","",IF(ISBLANK(INDIRECT("R9.Web!D"&amp;SUM(18,38*17,8))),"",INDIRECT("R9.Web!D"&amp;SUM(18,38*17,8))))</f>
        <v>Pasa</v>
      </c>
      <c r="BB27" s="75" t="str" cm="1">
        <f t="array" aca="1" ref="BB27" ca="1">IF($B27="","",IF(ISBLANK(INDIRECT("R9.Web!D"&amp;SUM(18,38*18,8))),"",INDIRECT("R9.Web!D"&amp;SUM(18,38*18,8))))</f>
        <v>Pasa</v>
      </c>
      <c r="BC27" s="75" t="str" cm="1">
        <f t="array" aca="1" ref="BC27" ca="1">IF($B27="","",IF(ISBLANK(INDIRECT("R9.Web!D"&amp;SUM(18,38*19,8))),"",INDIRECT("R9.Web!D"&amp;SUM(18,38*19,8))))</f>
        <v>Falla</v>
      </c>
      <c r="BD27" s="75" t="str" cm="1">
        <f t="array" aca="1" ref="BD27" ca="1">IF($B27="","",IF(ISBLANK(INDIRECT("R9.Web!D"&amp;SUM(18,38*20,8))),"",INDIRECT("R9.Web!D"&amp;SUM(18,38*20,8))))</f>
        <v>Falla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N/A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N/A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N/A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5">
      <c r="B28" s="39" t="str" cm="1">
        <f t="array" ref="B28">IFERROR(INDEX('03.Muestra'!$B$8:$B$42,SMALL(IF("Página Web"='03.Muestra'!$D$8:$D$42,ROW('03.Muestra'!$B$8:$B$42)-MIN(ROW('03.Muestra'!$D$8:$D$42))+1,""),ROW()-19)),"")</f>
        <v/>
      </c>
      <c r="C28" s="73" t="str" cm="1">
        <f t="array" ref="C28">IFERROR(INDEX('03.Muestra'!$C$8:$C$42,SMALL(IF("Página Web"='03.Muestra'!$D$8:$D$42,ROW('03.Muestra'!$C$8:$C$42)-MIN(ROW('03.Muestra'!$D$8:$D$42))+1,""),ROW()-19)),"")</f>
        <v/>
      </c>
      <c r="D28" s="74" t="str" cm="1">
        <f t="array" ref="D28">IFERROR(INDEX('03.Muestra'!$F$8:$F$42,SMALL(IF("Página Web"='03.Muestra'!$D$8:$D$42,ROW('03.Muestra'!$F$8:$F$42)-MIN(ROW('03.Muestra'!$D$8:$D$42))+1,""),ROW()-19)),"")</f>
        <v/>
      </c>
      <c r="E28" s="75" t="str" cm="1">
        <f t="array" aca="1" ref="E28" ca="1">IF($B28="","",IF(ISBLANK(INDIRECT("R5.Genéricos!D"&amp;SUM(18,38*0,9))),"",INDIRECT("R5.Genéricos!D"&amp;SUM(18,38*0,9))))</f>
        <v/>
      </c>
      <c r="F28" s="75" t="str" cm="1">
        <f t="array" aca="1" ref="F28" ca="1">IF($B28="","",IF(ISBLANK(INDIRECT("R5.Genéricos!D"&amp;SUM(18,38*1,9))),"",INDIRECT("R5.Genéricos!D"&amp;SUM(18,38*1,9))))</f>
        <v/>
      </c>
      <c r="G28" s="75" t="str" cm="1">
        <f t="array" aca="1" ref="G28" ca="1">IF($B28="","",IF(ISBLANK(INDIRECT("R5.Genéricos!D"&amp;SUM(18,38*2,9))),"",INDIRECT("R5.Genéricos!D"&amp;SUM(18,38*2,9))))</f>
        <v/>
      </c>
      <c r="H28" s="75" t="str" cm="1">
        <f t="array" aca="1" ref="H28" ca="1">IF($B28="","",IF(ISBLANK(INDIRECT("R6.Voz!D"&amp;SUM(18,38*0,9))),"",INDIRECT("R6.Voz!D"&amp;SUM(18,38*0,9))))</f>
        <v/>
      </c>
      <c r="I28" s="75" t="str" cm="1">
        <f t="array" aca="1" ref="I28" ca="1">IF($B28="","",IF(ISBLANK(INDIRECT("R6.Voz!D"&amp;SUM(18,38*1,9))),"",INDIRECT("R6.Voz!D"&amp;SUM(18,38*1,9))))</f>
        <v/>
      </c>
      <c r="J28" s="75" t="str" cm="1">
        <f t="array" aca="1" ref="J28" ca="1">IF($B28="","",IF(ISBLANK(INDIRECT("R6.Voz!D"&amp;SUM(18,38*2,9))),"",INDIRECT("R6.Voz!D"&amp;SUM(18,38*2,9))))</f>
        <v/>
      </c>
      <c r="K28" s="75" t="str" cm="1">
        <f t="array" aca="1" ref="K28" ca="1">IF($B28="","",IF(ISBLANK(INDIRECT("R6.Voz!D"&amp;SUM(18,38*3,9))),"",INDIRECT("R6.Voz!D"&amp;SUM(18,38*3,9))))</f>
        <v/>
      </c>
      <c r="L28" s="75" t="str" cm="1">
        <f t="array" aca="1" ref="L28" ca="1">IF($B28="","",IF(ISBLANK(INDIRECT("R6.Voz!D"&amp;SUM(18,38*4,9))),"",INDIRECT("R6.Voz!D"&amp;SUM(18,38*4,9))))</f>
        <v/>
      </c>
      <c r="M28" s="75" t="str" cm="1">
        <f t="array" aca="1" ref="M28" ca="1">IF($B28="","",IF(ISBLANK(INDIRECT("R6.Voz!D"&amp;SUM(18,38*5,9))),"",INDIRECT("R6.Voz!D"&amp;SUM(18,38*5,9))))</f>
        <v/>
      </c>
      <c r="N28" s="75" t="str" cm="1">
        <f t="array" aca="1" ref="N28" ca="1">IF($B28="","",IF(ISBLANK(INDIRECT("R6.Voz!D"&amp;SUM(18,38*6,9))),"",INDIRECT("R6.Voz!D"&amp;SUM(18,38*6,9))))</f>
        <v/>
      </c>
      <c r="O28" s="75" t="str" cm="1">
        <f t="array" aca="1" ref="O28" ca="1">IF($B28="","",IF(ISBLANK(INDIRECT("R6.Voz!D"&amp;SUM(18,38*7,9))),"",INDIRECT("R6.Voz!D"&amp;SUM(18,38*7,9))))</f>
        <v/>
      </c>
      <c r="P28" s="75" t="str" cm="1">
        <f t="array" aca="1" ref="P28" ca="1">IF($B28="","",IF(ISBLANK(INDIRECT("R6.Voz!D"&amp;SUM(18,38*8,9))),"",INDIRECT("R6.Voz!D"&amp;SUM(18,38*8,9))))</f>
        <v/>
      </c>
      <c r="Q28" s="75" t="str" cm="1">
        <f t="array" aca="1" ref="Q28" ca="1">IF($B28="","",IF(ISBLANK(INDIRECT("R6.Voz!D"&amp;SUM(18,38*9,9))),"",INDIRECT("R6.Voz!D"&amp;SUM(18,38*9,9))))</f>
        <v/>
      </c>
      <c r="R28" s="75" t="str" cm="1">
        <f t="array" aca="1" ref="R28" ca="1">IF($B28="","",IF(ISBLANK(INDIRECT("R6.Voz!D"&amp;SUM(18,38*10,9))),"",INDIRECT("R6.Voz!D"&amp;SUM(18,38*10,9))))</f>
        <v/>
      </c>
      <c r="S28" s="75" t="str" cm="1">
        <f t="array" aca="1" ref="S28" ca="1">IF($B28="","",IF(ISBLANK(INDIRECT("R6.Voz!D"&amp;SUM(18,38*11,9))),"",INDIRECT("R6.Voz!D"&amp;SUM(18,38*11,9))))</f>
        <v/>
      </c>
      <c r="T28" s="75" t="str" cm="1">
        <f t="array" aca="1" ref="T28" ca="1">IF($B28="","",IF(ISBLANK(INDIRECT("R6.Voz!D"&amp;SUM(18,38*12,9))),"",INDIRECT("R6.Voz!D"&amp;SUM(18,38*12,9))))</f>
        <v/>
      </c>
      <c r="U28" s="75" t="str" cm="1">
        <f t="array" aca="1" ref="U28" ca="1">IF($B28="","",IF(ISBLANK(INDIRECT("R6.Voz!D"&amp;SUM(18,38*13,9))),"",INDIRECT("R6.Voz!D"&amp;SUM(18,38*13,9))))</f>
        <v/>
      </c>
      <c r="V28" s="75" t="str" cm="1">
        <f t="array" aca="1" ref="V28" ca="1">IF($B28="","",IF(ISBLANK(INDIRECT("R6.Voz!D"&amp;SUM(18,38*14,9))),"",INDIRECT("R6.Voz!D"&amp;SUM(18,38*14,9))))</f>
        <v/>
      </c>
      <c r="W28" s="75" t="str" cm="1">
        <f t="array" aca="1" ref="W28" ca="1">IF($B28="","",IF(ISBLANK(INDIRECT("R6.Voz!D"&amp;SUM(18,38*15,9))),"",INDIRECT("R6.Voz!D"&amp;SUM(18,38*15,9))))</f>
        <v/>
      </c>
      <c r="X28" s="75" t="str" cm="1">
        <f t="array" aca="1" ref="X28" ca="1">IF($B28="","",IF(ISBLANK(INDIRECT("R6.Voz!D"&amp;SUM(18,38*16,9))),"",INDIRECT("R6.Voz!D"&amp;SUM(18,38*16,9))))</f>
        <v/>
      </c>
      <c r="Y28" s="75" t="str" cm="1">
        <f t="array" aca="1" ref="Y28" ca="1">IF($B28="","",IF(ISBLANK(INDIRECT("R6.Voz!D"&amp;SUM(18,38*17,9))),"",INDIRECT("R6.Voz!D"&amp;SUM(18,38*17,9))))</f>
        <v/>
      </c>
      <c r="Z28" s="75" t="str" cm="1">
        <f t="array" aca="1" ref="Z28" ca="1">IF($B28="","",IF(ISBLANK(INDIRECT("R6.Voz!D"&amp;SUM(18,38*18,9))),"",INDIRECT("R6.Voz!D"&amp;SUM(18,38*18,9))))</f>
        <v/>
      </c>
      <c r="AA28" s="75" t="str" cm="1">
        <f t="array" aca="1" ref="AA28" ca="1">IF($B28="","",IF(ISBLANK(INDIRECT("R7.Video!D"&amp;SUM(18,38*0,9))),"",INDIRECT("R7.Video!D"&amp;SUM(18,38*0,9))))</f>
        <v/>
      </c>
      <c r="AB28" s="75" t="str" cm="1">
        <f t="array" aca="1" ref="AB28" ca="1">IF($B28="","",IF(ISBLANK(INDIRECT("R7.Video!D"&amp;SUM(18,38*1,9))),"",INDIRECT("R7.Video!D"&amp;SUM(18,38*1,9))))</f>
        <v/>
      </c>
      <c r="AC28" s="75" t="str" cm="1">
        <f t="array" aca="1" ref="AC28" ca="1">IF($B28="","",IF(ISBLANK(INDIRECT("R7.Video!D"&amp;SUM(18,38*2,9))),"",INDIRECT("R7.Video!D"&amp;SUM(18,38*2,9))))</f>
        <v/>
      </c>
      <c r="AD28" s="75" t="str" cm="1">
        <f t="array" aca="1" ref="AD28" ca="1">IF($B28="","",IF(ISBLANK(INDIRECT("R7.Video!D"&amp;SUM(18,38*3,9))),"",INDIRECT("R7.Video!D"&amp;SUM(18,38*3,9))))</f>
        <v/>
      </c>
      <c r="AE28" s="75" t="str" cm="1">
        <f t="array" aca="1" ref="AE28" ca="1">IF($B28="","",IF(ISBLANK(INDIRECT("R7.Video!D"&amp;SUM(18,38*4,9))),"",INDIRECT("R7.Video!D"&amp;SUM(18,38*4,9))))</f>
        <v/>
      </c>
      <c r="AF28" s="75" t="str" cm="1">
        <f t="array" aca="1" ref="AF28" ca="1">IF($B28="","",IF(ISBLANK(INDIRECT("R7.Video!D"&amp;SUM(18,38*5,9))),"",INDIRECT("R7.Video!D"&amp;SUM(18,38*5,9))))</f>
        <v/>
      </c>
      <c r="AG28" s="75" t="str" cm="1">
        <f t="array" aca="1" ref="AG28" ca="1">IF($B28="","",IF(ISBLANK(INDIRECT("R7.Video!D"&amp;SUM(18,38*6,9))),"",INDIRECT("R7.Video!D"&amp;SUM(18,38*6,9))))</f>
        <v/>
      </c>
      <c r="AH28" s="75" t="str" cm="1">
        <f t="array" aca="1" ref="AH28" ca="1">IF($B28="","",IF(ISBLANK(INDIRECT("R7.Video!D"&amp;SUM(18,38*7,9))),"",INDIRECT("R7.Video!D"&amp;SUM(18,38*7,9))))</f>
        <v/>
      </c>
      <c r="AI28" s="75" t="str" cm="1">
        <f t="array" aca="1" ref="AI28" ca="1">IF($B28="","",IF(ISBLANK(INDIRECT("R7.Video!D"&amp;SUM(18,38*8,9))),"",INDIRECT("R7.Video!D"&amp;SUM(18,38*8,9))))</f>
        <v/>
      </c>
      <c r="AJ28" s="75" t="str" cm="1">
        <f t="array" aca="1" ref="AJ28" ca="1">IF($B28="","",IF(ISBLANK(INDIRECT("R9.Web!D"&amp;SUM(18,38*0,9))),"",INDIRECT("R9.Web!D"&amp;SUM(18,38*0,9))))</f>
        <v/>
      </c>
      <c r="AK28" s="75" t="str" cm="1">
        <f t="array" aca="1" ref="AK28" ca="1">IF($B28="","",IF(ISBLANK(INDIRECT("R9.Web!D"&amp;SUM(18,38*1,9))),"",INDIRECT("R9.Web!D"&amp;SUM(18,38*1,9))))</f>
        <v/>
      </c>
      <c r="AL28" s="75" t="str" cm="1">
        <f t="array" aca="1" ref="AL28" ca="1">IF($B28="","",IF(ISBLANK(INDIRECT("R9.Web!D"&amp;SUM(18,38*2,9))),"",INDIRECT("R9.Web!D"&amp;SUM(18,38*2,9))))</f>
        <v/>
      </c>
      <c r="AM28" s="75" t="str" cm="1">
        <f t="array" aca="1" ref="AM28" ca="1">IF($B28="","",IF(ISBLANK(INDIRECT("R9.Web!D"&amp;SUM(18,38*3,9))),"",INDIRECT("R9.Web!D"&amp;SUM(18,38*3,9))))</f>
        <v/>
      </c>
      <c r="AN28" s="75" t="str" cm="1">
        <f t="array" aca="1" ref="AN28" ca="1">IF($B28="","",IF(ISBLANK(INDIRECT("R9.Web!D"&amp;SUM(18,38*4,9))),"",INDIRECT("R9.Web!D"&amp;SUM(18,38*4,9))))</f>
        <v/>
      </c>
      <c r="AO28" s="75" t="str" cm="1">
        <f t="array" aca="1" ref="AO28" ca="1">IF($B28="","",IF(ISBLANK(INDIRECT("R9.Web!D"&amp;SUM(18,38*5,9))),"",INDIRECT("R9.Web!D"&amp;SUM(18,38*5,9))))</f>
        <v/>
      </c>
      <c r="AP28" s="75" t="str" cm="1">
        <f t="array" aca="1" ref="AP28" ca="1">IF($B28="","",IF(ISBLANK(INDIRECT("R9.Web!D"&amp;SUM(18,38*6,9))),"",INDIRECT("R9.Web!D"&amp;SUM(18,38*6,9))))</f>
        <v/>
      </c>
      <c r="AQ28" s="75" t="str" cm="1">
        <f t="array" aca="1" ref="AQ28" ca="1">IF($B28="","",IF(ISBLANK(INDIRECT("R9.Web!D"&amp;SUM(18,38*7,9))),"",INDIRECT("R9.Web!D"&amp;SUM(18,38*7,9))))</f>
        <v/>
      </c>
      <c r="AR28" s="75" t="str" cm="1">
        <f t="array" aca="1" ref="AR28" ca="1">IF($B28="","",IF(ISBLANK(INDIRECT("R9.Web!D"&amp;SUM(18,38*8,9))),"",INDIRECT("R9.Web!D"&amp;SUM(18,38*8,9))))</f>
        <v/>
      </c>
      <c r="AS28" s="75" t="str" cm="1">
        <f t="array" aca="1" ref="AS28" ca="1">IF($B28="","",IF(ISBLANK(INDIRECT("R9.Web!D"&amp;SUM(18,38*9,9))),"",INDIRECT("R9.Web!D"&amp;SUM(18,38*9,9))))</f>
        <v/>
      </c>
      <c r="AT28" s="75" t="str" cm="1">
        <f t="array" aca="1" ref="AT28" ca="1">IF($B28="","",IF(ISBLANK(INDIRECT("R9.Web!D"&amp;SUM(18,38*10,9))),"",INDIRECT("R9.Web!D"&amp;SUM(18,38*10,9))))</f>
        <v/>
      </c>
      <c r="AU28" s="75" t="str" cm="1">
        <f t="array" aca="1" ref="AU28" ca="1">IF($B28="","",IF(ISBLANK(INDIRECT("R9.Web!D"&amp;SUM(18,38*11,9))),"",INDIRECT("R9.Web!D"&amp;SUM(18,38*11,9))))</f>
        <v/>
      </c>
      <c r="AV28" s="75" t="str" cm="1">
        <f t="array" aca="1" ref="AV28" ca="1">IF($B28="","",IF(ISBLANK(INDIRECT("R9.Web!D"&amp;SUM(18,38*12,9))),"",INDIRECT("R9.Web!D"&amp;SUM(18,38*12,9))))</f>
        <v/>
      </c>
      <c r="AW28" s="75" t="str" cm="1">
        <f t="array" aca="1" ref="AW28" ca="1">IF($B28="","",IF(ISBLANK(INDIRECT("R9.Web!D"&amp;SUM(18,38*13,9))),"",INDIRECT("R9.Web!D"&amp;SUM(18,38*13,9))))</f>
        <v/>
      </c>
      <c r="AX28" s="75" t="str" cm="1">
        <f t="array" aca="1" ref="AX28" ca="1">IF($B28="","",IF(ISBLANK(INDIRECT("R9.Web!D"&amp;SUM(18,38*14,9))),"",INDIRECT("R9.Web!D"&amp;SUM(18,38*14,9))))</f>
        <v/>
      </c>
      <c r="AY28" s="75" t="str" cm="1">
        <f t="array" aca="1" ref="AY28" ca="1">IF($B28="","",IF(ISBLANK(INDIRECT("R9.Web!D"&amp;SUM(18,38*15,9))),"",INDIRECT("R9.Web!D"&amp;SUM(18,38*15,9))))</f>
        <v/>
      </c>
      <c r="AZ28" s="75" t="str" cm="1">
        <f t="array" aca="1" ref="AZ28" ca="1">IF($B28="","",IF(ISBLANK(INDIRECT("R9.Web!D"&amp;SUM(18,38*16,9))),"",INDIRECT("R9.Web!D"&amp;SUM(18,38*16,9))))</f>
        <v/>
      </c>
      <c r="BA28" s="75" t="str" cm="1">
        <f t="array" aca="1" ref="BA28" ca="1">IF($B28="","",IF(ISBLANK(INDIRECT("R9.Web!D"&amp;SUM(18,38*17,9))),"",INDIRECT("R9.Web!D"&amp;SUM(18,38*17,9))))</f>
        <v/>
      </c>
      <c r="BB28" s="75" t="str" cm="1">
        <f t="array" aca="1" ref="BB28" ca="1">IF($B28="","",IF(ISBLANK(INDIRECT("R9.Web!D"&amp;SUM(18,38*18,9))),"",INDIRECT("R9.Web!D"&amp;SUM(18,38*18,9))))</f>
        <v/>
      </c>
      <c r="BC28" s="75" t="str" cm="1">
        <f t="array" aca="1" ref="BC28" ca="1">IF($B28="","",IF(ISBLANK(INDIRECT("R9.Web!D"&amp;SUM(18,38*19,9))),"",INDIRECT("R9.Web!D"&amp;SUM(18,38*19,9))))</f>
        <v/>
      </c>
      <c r="BD28" s="75" t="str" cm="1">
        <f t="array" aca="1" ref="BD28" ca="1">IF($B28="","",IF(ISBLANK(INDIRECT("R9.Web!D"&amp;SUM(18,38*20,9))),"",INDIRECT("R9.Web!D"&amp;SUM(18,38*20,9))))</f>
        <v/>
      </c>
      <c r="BE28" s="75" t="str" cm="1">
        <f t="array" aca="1" ref="BE28" ca="1">IF($B28="","",IF(ISBLANK(INDIRECT("R9.Web!D"&amp;SUM(18,38*21,9))),"",INDIRECT("R9.Web!D"&amp;SUM(18,38*21,9))))</f>
        <v/>
      </c>
      <c r="BF28" s="75" t="str" cm="1">
        <f t="array" aca="1" ref="BF28" ca="1">IF($B28="","",IF(ISBLANK(INDIRECT("R9.Web!D"&amp;SUM(18,38*22,9))),"",INDIRECT("R9.Web!D"&amp;SUM(18,38*22,9))))</f>
        <v/>
      </c>
      <c r="BG28" s="75" t="str" cm="1">
        <f t="array" aca="1" ref="BG28" ca="1">IF($B28="","",IF(ISBLANK(INDIRECT("R9.Web!D"&amp;SUM(18,38*23,9))),"",INDIRECT("R9.Web!D"&amp;SUM(18,38*23,9))))</f>
        <v/>
      </c>
      <c r="BH28" s="75" t="str" cm="1">
        <f t="array" aca="1" ref="BH28" ca="1">IF($B28="","",IF(ISBLANK(INDIRECT("R9.Web!D"&amp;SUM(18,38*24,9))),"",INDIRECT("R9.Web!D"&amp;SUM(18,38*24,9))))</f>
        <v/>
      </c>
      <c r="BI28" s="75" t="str" cm="1">
        <f t="array" aca="1" ref="BI28" ca="1">IF($B28="","",IF(ISBLANK(INDIRECT("R9.Web!D"&amp;SUM(18,38*25,9))),"",INDIRECT("R9.Web!D"&amp;SUM(18,38*25,9))))</f>
        <v/>
      </c>
      <c r="BJ28" s="75" t="str" cm="1">
        <f t="array" aca="1" ref="BJ28" ca="1">IF($B28="","",IF(ISBLANK(INDIRECT("R9.Web!D"&amp;SUM(18,38*26,9))),"",INDIRECT("R9.Web!D"&amp;SUM(18,38*26,9))))</f>
        <v/>
      </c>
      <c r="BK28" s="75" t="str" cm="1">
        <f t="array" aca="1" ref="BK28" ca="1">IF($B28="","",IF(ISBLANK(INDIRECT("R9.Web!D"&amp;SUM(18,38*27,9))),"",INDIRECT("R9.Web!D"&amp;SUM(18,38*27,9))))</f>
        <v/>
      </c>
      <c r="BL28" s="75" t="str" cm="1">
        <f t="array" aca="1" ref="BL28" ca="1">IF($B28="","",IF(ISBLANK(INDIRECT("R9.Web!D"&amp;SUM(18,38*28,9))),"",INDIRECT("R9.Web!D"&amp;SUM(18,38*28,9))))</f>
        <v/>
      </c>
      <c r="BM28" s="75" t="str" cm="1">
        <f t="array" aca="1" ref="BM28" ca="1">IF($B28="","",IF(ISBLANK(INDIRECT("R9.Web!D"&amp;SUM(18,38*29,9))),"",INDIRECT("R9.Web!D"&amp;SUM(18,38*29,9))))</f>
        <v/>
      </c>
      <c r="BN28" s="75" t="str" cm="1">
        <f t="array" aca="1" ref="BN28" ca="1">IF($B28="","",IF(ISBLANK(INDIRECT("R9.Web!D"&amp;SUM(18,38*30,9))),"",INDIRECT("R9.Web!D"&amp;SUM(18,38*30,9))))</f>
        <v/>
      </c>
      <c r="BO28" s="75" t="str" cm="1">
        <f t="array" aca="1" ref="BO28" ca="1">IF($B28="","",IF(ISBLANK(INDIRECT("R9.Web!D"&amp;SUM(18,38*31,9))),"",INDIRECT("R9.Web!D"&amp;SUM(18,38*31,9))))</f>
        <v/>
      </c>
      <c r="BP28" s="75" t="str" cm="1">
        <f t="array" aca="1" ref="BP28" ca="1">IF($B28="","",IF(ISBLANK(INDIRECT("R9.Web!D"&amp;SUM(18,38*32,9))),"",INDIRECT("R9.Web!D"&amp;SUM(18,38*32,9))))</f>
        <v/>
      </c>
      <c r="BQ28" s="75" t="str" cm="1">
        <f t="array" aca="1" ref="BQ28" ca="1">IF($B28="","",IF(ISBLANK(INDIRECT("R9.Web!D"&amp;SUM(18,38*33,9))),"",INDIRECT("R9.Web!D"&amp;SUM(18,38*33,9))))</f>
        <v/>
      </c>
      <c r="BR28" s="75" t="str" cm="1">
        <f t="array" aca="1" ref="BR28" ca="1">IF($B28="","",IF(ISBLANK(INDIRECT("R9.Web!D"&amp;SUM(18,38*34,9))),"",INDIRECT("R9.Web!D"&amp;SUM(18,38*34,9))))</f>
        <v/>
      </c>
      <c r="BS28" s="75" t="str" cm="1">
        <f t="array" aca="1" ref="BS28" ca="1">IF($B28="","",IF(ISBLANK(INDIRECT("R9.Web!D"&amp;SUM(18,38*35,9))),"",INDIRECT("R9.Web!D"&amp;SUM(18,38*35,9))))</f>
        <v/>
      </c>
      <c r="BT28" s="75" t="str" cm="1">
        <f t="array" aca="1" ref="BT28" ca="1">IF($B28="","",IF(ISBLANK(INDIRECT("R9.Web!D"&amp;SUM(18,38*36,9))),"",INDIRECT("R9.Web!D"&amp;SUM(18,38*36,9))))</f>
        <v/>
      </c>
      <c r="BU28" s="75" t="str" cm="1">
        <f t="array" aca="1" ref="BU28" ca="1">IF($B28="","",IF(ISBLANK(INDIRECT("R9.Web!D"&amp;SUM(18,38*37,9))),"",INDIRECT("R9.Web!D"&amp;SUM(18,38*37,9))))</f>
        <v/>
      </c>
      <c r="BV28" s="75" t="str" cm="1">
        <f t="array" aca="1" ref="BV28" ca="1">IF($B28="","",IF(ISBLANK(INDIRECT("R9.Web!D"&amp;SUM(18,38*38,9))),"",INDIRECT("R9.Web!D"&amp;SUM(18,38*38,9))))</f>
        <v/>
      </c>
      <c r="BW28" s="75" t="str" cm="1">
        <f t="array" aca="1" ref="BW28" ca="1">IF($B28="","",IF(ISBLANK(INDIRECT("R9.Web!D"&amp;SUM(18,38*39,9))),"",INDIRECT("R9.Web!D"&amp;SUM(18,38*39,9))))</f>
        <v/>
      </c>
      <c r="BX28" s="75" t="str" cm="1">
        <f t="array" aca="1" ref="BX28" ca="1">IF($B28="","",IF(ISBLANK(INDIRECT("R9.Web!D"&amp;SUM(18,38*40,9))),"",INDIRECT("R9.Web!D"&amp;SUM(18,38*40,9))))</f>
        <v/>
      </c>
      <c r="BY28" s="75" t="str" cm="1">
        <f t="array" aca="1" ref="BY28" ca="1">IF($B28="","",IF(ISBLANK(INDIRECT("R9.Web!D"&amp;SUM(18,38*41,9))),"",INDIRECT("R9.Web!D"&amp;SUM(18,38*41,9))))</f>
        <v/>
      </c>
      <c r="BZ28" s="75" t="str" cm="1">
        <f t="array" aca="1" ref="BZ28" ca="1">IF($B28="","",IF(ISBLANK(INDIRECT("R9.Web!D"&amp;SUM(18,38*42,9))),"",INDIRECT("R9.Web!D"&amp;SUM(18,38*42,9))))</f>
        <v/>
      </c>
      <c r="CA28" s="75" t="str" cm="1">
        <f t="array" aca="1" ref="CA28" ca="1">IF($B28="","",IF(ISBLANK(INDIRECT("R9.Web!D"&amp;SUM(18,38*43,9))),"",INDIRECT("R9.Web!D"&amp;SUM(18,38*43,9))))</f>
        <v/>
      </c>
      <c r="CB28" s="75" t="str" cm="1">
        <f t="array" aca="1" ref="CB28" ca="1">IF($B28="","",IF(ISBLANK(INDIRECT("R9.Web!D"&amp;SUM(18,38*44,9))),"",INDIRECT("R9.Web!D"&amp;SUM(18,38*44,9))))</f>
        <v/>
      </c>
      <c r="CC28" s="75" t="str" cm="1">
        <f t="array" aca="1" ref="CC28" ca="1">IF($B28="","",IF(ISBLANK(INDIRECT("R9.Web!D"&amp;SUM(18,38*45,9))),"",INDIRECT("R9.Web!D"&amp;SUM(18,38*45,9))))</f>
        <v/>
      </c>
      <c r="CD28" s="75" t="str" cm="1">
        <f t="array" aca="1" ref="CD28" ca="1">IF($B28="","",IF(ISBLANK(INDIRECT("R9.Web!D"&amp;SUM(18,38*46,9))),"",INDIRECT("R9.Web!D"&amp;SUM(18,38*46,9))))</f>
        <v/>
      </c>
      <c r="CE28" s="75" t="str" cm="1">
        <f t="array" aca="1" ref="CE28" ca="1">IF($B28="","",IF(ISBLANK(INDIRECT("R9.Web!D"&amp;SUM(18,38*47,9))),"",INDIRECT("R9.Web!D"&amp;SUM(18,38*47,9))))</f>
        <v/>
      </c>
      <c r="CF28" s="75" t="str" cm="1">
        <f t="array" aca="1" ref="CF28" ca="1">IF($B28="","",IF(ISBLANK(INDIRECT("R9.Web!D"&amp;SUM(18,38*48,9))),"",INDIRECT("R9.Web!D"&amp;SUM(18,38*48,9))))</f>
        <v/>
      </c>
      <c r="CG28" s="75" t="str" cm="1">
        <f t="array" aca="1" ref="CG28" ca="1">IF($B28="","",IF(ISBLANK(INDIRECT("R9.Web!D"&amp;SUM(18,38*49,9))),"",INDIRECT("R9.Web!D"&amp;SUM(18,38*49,9))))</f>
        <v/>
      </c>
      <c r="CH28" s="75" t="str" cm="1">
        <f t="array" aca="1" ref="CH28" ca="1">IF($B28="","",IF(ISBLANK(INDIRECT("R11.Software!D"&amp;SUM(18,38*0,9))),"",INDIRECT("R11.Software!D"&amp;SUM(18,38*0,9))))</f>
        <v/>
      </c>
      <c r="CI28" s="75" t="str" cm="1">
        <f t="array" aca="1" ref="CI28" ca="1">IF($B28="","",IF(ISBLANK(INDIRECT("R11.Software!D"&amp;SUM(18,38*1,9))),"",INDIRECT("R11.Software!D"&amp;SUM(18,38*1,9))))</f>
        <v/>
      </c>
      <c r="CJ28" s="75" t="str" cm="1">
        <f t="array" aca="1" ref="CJ28" ca="1">IF($B28="","",IF(ISBLANK(INDIRECT("R11.Software!D"&amp;SUM(18,38*2,9))),"",INDIRECT("R11.Software!D"&amp;SUM(18,38*2,9))))</f>
        <v/>
      </c>
      <c r="CK28" s="75" t="str" cm="1">
        <f t="array" aca="1" ref="CK28" ca="1">IF($B28="","",IF(ISBLANK(INDIRECT("R11.Software!D"&amp;SUM(18,38*3,9))),"",INDIRECT("R11.Software!D"&amp;SUM(18,38*3,9))))</f>
        <v/>
      </c>
      <c r="CL28" s="75" t="str" cm="1">
        <f t="array" aca="1" ref="CL28" ca="1">IF($B28="","",IF(ISBLANK(INDIRECT("R11.Software!D"&amp;SUM(18,38*4,9))),"",INDIRECT("R11.Software!D"&amp;SUM(18,38*4,9))))</f>
        <v/>
      </c>
      <c r="CM28" s="75" t="str" cm="1">
        <f t="array" aca="1" ref="CM28" ca="1">IF($B28="","",IF(ISBLANK(INDIRECT("R11.Software!D"&amp;SUM(18,38*5,9))),"",INDIRECT("R11.Software!D"&amp;SUM(18,38*5,9))))</f>
        <v/>
      </c>
      <c r="CN28" s="75" t="str" cm="1">
        <f t="array" aca="1" ref="CN28" ca="1">IF($B28="","",IF(ISBLANK(INDIRECT("R12.ServiciosApoyo!D"&amp;SUM(18,38*0,9))),"",INDIRECT("R12.ServiciosApoyo!D"&amp;SUM(18,38*0,9))))</f>
        <v/>
      </c>
      <c r="CO28" s="75" t="str" cm="1">
        <f t="array" aca="1" ref="CO28" ca="1">IF($B28="","",IF(ISBLANK(INDIRECT("R12.ServiciosApoyo!D"&amp;SUM(18,38*1,9))),"",INDIRECT("R12.ServiciosApoyo!D"&amp;SUM(18,38*1,9))))</f>
        <v/>
      </c>
      <c r="CP28" s="75" t="str" cm="1">
        <f t="array" aca="1" ref="CP28" ca="1">IF($B28="","",IF(ISBLANK(INDIRECT("R12.ServiciosApoyo!D"&amp;SUM(18,38*2,9))),"",INDIRECT("R12.ServiciosApoyo!D"&amp;SUM(18,38*2,9))))</f>
        <v/>
      </c>
      <c r="CQ28" s="75" t="str" cm="1">
        <f t="array" aca="1" ref="CQ28" ca="1">IF($B28="","",IF(ISBLANK(INDIRECT("R12.ServiciosApoyo!D"&amp;SUM(18,38*3,9))),"",INDIRECT("R12.ServiciosApoyo!D"&amp;SUM(18,38*3,9))))</f>
        <v/>
      </c>
      <c r="CR28" s="75" t="str" cm="1">
        <f t="array" aca="1" ref="CR28" ca="1">IF($B28="","",IF(ISBLANK(INDIRECT("R12.ServiciosApoyo!D"&amp;SUM(18,38*4,9))),"",INDIRECT("R12.ServiciosApoyo!D"&amp;SUM(18,38*4,9))))</f>
        <v/>
      </c>
      <c r="CU28" s="76"/>
    </row>
    <row r="29" spans="2:100" ht="20.5">
      <c r="B29" s="39" t="str" cm="1">
        <f t="array" ref="B29">IFERROR(INDEX('03.Muestra'!$B$8:$B$42,SMALL(IF("Página Web"='03.Muestra'!$D$8:$D$42,ROW('03.Muestra'!$B$8:$B$42)-MIN(ROW('03.Muestra'!$D$8:$D$42))+1,""),ROW()-19)),"")</f>
        <v/>
      </c>
      <c r="C29" s="73" t="str" cm="1">
        <f t="array" ref="C29">IFERROR(INDEX('03.Muestra'!$C$8:$C$42,SMALL(IF("Página Web"='03.Muestra'!$D$8:$D$42,ROW('03.Muestra'!$C$8:$C$42)-MIN(ROW('03.Muestra'!$D$8:$D$42))+1,""),ROW()-19)),"")</f>
        <v/>
      </c>
      <c r="D29" s="74" t="str" cm="1">
        <f t="array" ref="D29">IFERROR(INDEX('03.Muestra'!$F$8:$F$42,SMALL(IF("Página Web"='03.Muestra'!$D$8:$D$42,ROW('03.Muestra'!$F$8:$F$42)-MIN(ROW('03.Muestra'!$D$8:$D$42))+1,""),ROW()-19)),"")</f>
        <v/>
      </c>
      <c r="E29" s="75" t="str" cm="1">
        <f t="array" aca="1" ref="E29" ca="1">IF($B29="","",IF(ISBLANK(INDIRECT("R5.Genéricos!D"&amp;SUM(18,38*0,10))),"",INDIRECT("R5.Genéricos!D"&amp;SUM(18,38*0,10))))</f>
        <v/>
      </c>
      <c r="F29" s="75" t="str" cm="1">
        <f t="array" aca="1" ref="F29" ca="1">IF($B29="","",IF(ISBLANK(INDIRECT("R5.Genéricos!D"&amp;SUM(18,38*1,10))),"",INDIRECT("R5.Genéricos!D"&amp;SUM(18,38*1,10))))</f>
        <v/>
      </c>
      <c r="G29" s="75" t="str" cm="1">
        <f t="array" aca="1" ref="G29" ca="1">IF($B29="","",IF(ISBLANK(INDIRECT("R5.Genéricos!D"&amp;SUM(18,38*2,10))),"",INDIRECT("R5.Genéricos!D"&amp;SUM(18,38*2,10))))</f>
        <v/>
      </c>
      <c r="H29" s="75" t="str" cm="1">
        <f t="array" aca="1" ref="H29" ca="1">IF($B29="","",IF(ISBLANK(INDIRECT("R6.Voz!D"&amp;SUM(18,38*0,10))),"",INDIRECT("R6.Voz!D"&amp;SUM(18,38*0,10))))</f>
        <v/>
      </c>
      <c r="I29" s="75" t="str" cm="1">
        <f t="array" aca="1" ref="I29" ca="1">IF($B29="","",IF(ISBLANK(INDIRECT("R6.Voz!D"&amp;SUM(18,38*1,10))),"",INDIRECT("R6.Voz!D"&amp;SUM(18,38*1,10))))</f>
        <v/>
      </c>
      <c r="J29" s="75" t="str" cm="1">
        <f t="array" aca="1" ref="J29" ca="1">IF($B29="","",IF(ISBLANK(INDIRECT("R6.Voz!D"&amp;SUM(18,38*2,10))),"",INDIRECT("R6.Voz!D"&amp;SUM(18,38*2,10))))</f>
        <v/>
      </c>
      <c r="K29" s="75" t="str" cm="1">
        <f t="array" aca="1" ref="K29" ca="1">IF($B29="","",IF(ISBLANK(INDIRECT("R6.Voz!D"&amp;SUM(18,38*3,10))),"",INDIRECT("R6.Voz!D"&amp;SUM(18,38*3,10))))</f>
        <v/>
      </c>
      <c r="L29" s="75" t="str" cm="1">
        <f t="array" aca="1" ref="L29" ca="1">IF($B29="","",IF(ISBLANK(INDIRECT("R6.Voz!D"&amp;SUM(18,38*4,10))),"",INDIRECT("R6.Voz!D"&amp;SUM(18,38*4,10))))</f>
        <v/>
      </c>
      <c r="M29" s="75" t="str" cm="1">
        <f t="array" aca="1" ref="M29" ca="1">IF($B29="","",IF(ISBLANK(INDIRECT("R6.Voz!D"&amp;SUM(18,38*5,10))),"",INDIRECT("R6.Voz!D"&amp;SUM(18,38*5,10))))</f>
        <v/>
      </c>
      <c r="N29" s="75" t="str" cm="1">
        <f t="array" aca="1" ref="N29" ca="1">IF($B29="","",IF(ISBLANK(INDIRECT("R6.Voz!D"&amp;SUM(18,38*6,10))),"",INDIRECT("R6.Voz!D"&amp;SUM(18,38*6,10))))</f>
        <v/>
      </c>
      <c r="O29" s="75" t="str" cm="1">
        <f t="array" aca="1" ref="O29" ca="1">IF($B29="","",IF(ISBLANK(INDIRECT("R6.Voz!D"&amp;SUM(18,38*7,10))),"",INDIRECT("R6.Voz!D"&amp;SUM(18,38*7,10))))</f>
        <v/>
      </c>
      <c r="P29" s="75" t="str" cm="1">
        <f t="array" aca="1" ref="P29" ca="1">IF($B29="","",IF(ISBLANK(INDIRECT("R6.Voz!D"&amp;SUM(18,38*8,10))),"",INDIRECT("R6.Voz!D"&amp;SUM(18,38*8,10))))</f>
        <v/>
      </c>
      <c r="Q29" s="75" t="str" cm="1">
        <f t="array" aca="1" ref="Q29" ca="1">IF($B29="","",IF(ISBLANK(INDIRECT("R6.Voz!D"&amp;SUM(18,38*9,10))),"",INDIRECT("R6.Voz!D"&amp;SUM(18,38*9,10))))</f>
        <v/>
      </c>
      <c r="R29" s="75" t="str" cm="1">
        <f t="array" aca="1" ref="R29" ca="1">IF($B29="","",IF(ISBLANK(INDIRECT("R6.Voz!D"&amp;SUM(18,38*10,10))),"",INDIRECT("R6.Voz!D"&amp;SUM(18,38*10,10))))</f>
        <v/>
      </c>
      <c r="S29" s="75" t="str" cm="1">
        <f t="array" aca="1" ref="S29" ca="1">IF($B29="","",IF(ISBLANK(INDIRECT("R6.Voz!D"&amp;SUM(18,38*11,10))),"",INDIRECT("R6.Voz!D"&amp;SUM(18,38*11,10))))</f>
        <v/>
      </c>
      <c r="T29" s="75" t="str" cm="1">
        <f t="array" aca="1" ref="T29" ca="1">IF($B29="","",IF(ISBLANK(INDIRECT("R6.Voz!D"&amp;SUM(18,38*12,10))),"",INDIRECT("R6.Voz!D"&amp;SUM(18,38*12,10))))</f>
        <v/>
      </c>
      <c r="U29" s="75" t="str" cm="1">
        <f t="array" aca="1" ref="U29" ca="1">IF($B29="","",IF(ISBLANK(INDIRECT("R6.Voz!D"&amp;SUM(18,38*13,10))),"",INDIRECT("R6.Voz!D"&amp;SUM(18,38*13,10))))</f>
        <v/>
      </c>
      <c r="V29" s="75" t="str" cm="1">
        <f t="array" aca="1" ref="V29" ca="1">IF($B29="","",IF(ISBLANK(INDIRECT("R6.Voz!D"&amp;SUM(18,38*14,10))),"",INDIRECT("R6.Voz!D"&amp;SUM(18,38*14,10))))</f>
        <v/>
      </c>
      <c r="W29" s="75" t="str" cm="1">
        <f t="array" aca="1" ref="W29" ca="1">IF($B29="","",IF(ISBLANK(INDIRECT("R6.Voz!D"&amp;SUM(18,38*15,10))),"",INDIRECT("R6.Voz!D"&amp;SUM(18,38*15,10))))</f>
        <v/>
      </c>
      <c r="X29" s="75" t="str" cm="1">
        <f t="array" aca="1" ref="X29" ca="1">IF($B29="","",IF(ISBLANK(INDIRECT("R6.Voz!D"&amp;SUM(18,38*16,10))),"",INDIRECT("R6.Voz!D"&amp;SUM(18,38*16,10))))</f>
        <v/>
      </c>
      <c r="Y29" s="75" t="str" cm="1">
        <f t="array" aca="1" ref="Y29" ca="1">IF($B29="","",IF(ISBLANK(INDIRECT("R6.Voz!D"&amp;SUM(18,38*17,10))),"",INDIRECT("R6.Voz!D"&amp;SUM(18,38*17,10))))</f>
        <v/>
      </c>
      <c r="Z29" s="75" t="str" cm="1">
        <f t="array" aca="1" ref="Z29" ca="1">IF($B29="","",IF(ISBLANK(INDIRECT("R6.Voz!D"&amp;SUM(18,38*18,10))),"",INDIRECT("R6.Voz!D"&amp;SUM(18,38*18,10))))</f>
        <v/>
      </c>
      <c r="AA29" s="75" t="str" cm="1">
        <f t="array" aca="1" ref="AA29" ca="1">IF($B29="","",IF(ISBLANK(INDIRECT("R7.Video!D"&amp;SUM(18,38*0,10))),"",INDIRECT("R7.Video!D"&amp;SUM(18,38*0,10))))</f>
        <v/>
      </c>
      <c r="AB29" s="75" t="str" cm="1">
        <f t="array" aca="1" ref="AB29" ca="1">IF($B29="","",IF(ISBLANK(INDIRECT("R7.Video!D"&amp;SUM(18,38*1,10))),"",INDIRECT("R7.Video!D"&amp;SUM(18,38*1,10))))</f>
        <v/>
      </c>
      <c r="AC29" s="75" t="str" cm="1">
        <f t="array" aca="1" ref="AC29" ca="1">IF($B29="","",IF(ISBLANK(INDIRECT("R7.Video!D"&amp;SUM(18,38*2,10))),"",INDIRECT("R7.Video!D"&amp;SUM(18,38*2,10))))</f>
        <v/>
      </c>
      <c r="AD29" s="75" t="str" cm="1">
        <f t="array" aca="1" ref="AD29" ca="1">IF($B29="","",IF(ISBLANK(INDIRECT("R7.Video!D"&amp;SUM(18,38*3,10))),"",INDIRECT("R7.Video!D"&amp;SUM(18,38*3,10))))</f>
        <v/>
      </c>
      <c r="AE29" s="75" t="str" cm="1">
        <f t="array" aca="1" ref="AE29" ca="1">IF($B29="","",IF(ISBLANK(INDIRECT("R7.Video!D"&amp;SUM(18,38*4,10))),"",INDIRECT("R7.Video!D"&amp;SUM(18,38*4,10))))</f>
        <v/>
      </c>
      <c r="AF29" s="75" t="str" cm="1">
        <f t="array" aca="1" ref="AF29" ca="1">IF($B29="","",IF(ISBLANK(INDIRECT("R7.Video!D"&amp;SUM(18,38*5,10))),"",INDIRECT("R7.Video!D"&amp;SUM(18,38*5,10))))</f>
        <v/>
      </c>
      <c r="AG29" s="75" t="str" cm="1">
        <f t="array" aca="1" ref="AG29" ca="1">IF($B29="","",IF(ISBLANK(INDIRECT("R7.Video!D"&amp;SUM(18,38*6,10))),"",INDIRECT("R7.Video!D"&amp;SUM(18,38*6,10))))</f>
        <v/>
      </c>
      <c r="AH29" s="75" t="str" cm="1">
        <f t="array" aca="1" ref="AH29" ca="1">IF($B29="","",IF(ISBLANK(INDIRECT("R7.Video!D"&amp;SUM(18,38*7,10))),"",INDIRECT("R7.Video!D"&amp;SUM(18,38*7,10))))</f>
        <v/>
      </c>
      <c r="AI29" s="75" t="str" cm="1">
        <f t="array" aca="1" ref="AI29" ca="1">IF($B29="","",IF(ISBLANK(INDIRECT("R7.Video!D"&amp;SUM(18,38*8,10))),"",INDIRECT("R7.Video!D"&amp;SUM(18,38*8,10))))</f>
        <v/>
      </c>
      <c r="AJ29" s="75" t="str" cm="1">
        <f t="array" aca="1" ref="AJ29" ca="1">IF($B29="","",IF(ISBLANK(INDIRECT("R9.Web!D"&amp;SUM(18,38*0,10))),"",INDIRECT("R9.Web!D"&amp;SUM(18,38*0,10))))</f>
        <v/>
      </c>
      <c r="AK29" s="75" t="str" cm="1">
        <f t="array" aca="1" ref="AK29" ca="1">IF($B29="","",IF(ISBLANK(INDIRECT("R9.Web!D"&amp;SUM(18,38*1,10))),"",INDIRECT("R9.Web!D"&amp;SUM(18,38*1,10))))</f>
        <v/>
      </c>
      <c r="AL29" s="75" t="str" cm="1">
        <f t="array" aca="1" ref="AL29" ca="1">IF($B29="","",IF(ISBLANK(INDIRECT("R9.Web!D"&amp;SUM(18,38*2,10))),"",INDIRECT("R9.Web!D"&amp;SUM(18,38*2,10))))</f>
        <v/>
      </c>
      <c r="AM29" s="75" t="str" cm="1">
        <f t="array" aca="1" ref="AM29" ca="1">IF($B29="","",IF(ISBLANK(INDIRECT("R9.Web!D"&amp;SUM(18,38*3,10))),"",INDIRECT("R9.Web!D"&amp;SUM(18,38*3,10))))</f>
        <v/>
      </c>
      <c r="AN29" s="75" t="str" cm="1">
        <f t="array" aca="1" ref="AN29" ca="1">IF($B29="","",IF(ISBLANK(INDIRECT("R9.Web!D"&amp;SUM(18,38*4,10))),"",INDIRECT("R9.Web!D"&amp;SUM(18,38*4,10))))</f>
        <v/>
      </c>
      <c r="AO29" s="75" t="str" cm="1">
        <f t="array" aca="1" ref="AO29" ca="1">IF($B29="","",IF(ISBLANK(INDIRECT("R9.Web!D"&amp;SUM(18,38*5,10))),"",INDIRECT("R9.Web!D"&amp;SUM(18,38*5,10))))</f>
        <v/>
      </c>
      <c r="AP29" s="75" t="str" cm="1">
        <f t="array" aca="1" ref="AP29" ca="1">IF($B29="","",IF(ISBLANK(INDIRECT("R9.Web!D"&amp;SUM(18,38*6,10))),"",INDIRECT("R9.Web!D"&amp;SUM(18,38*6,10))))</f>
        <v/>
      </c>
      <c r="AQ29" s="75" t="str" cm="1">
        <f t="array" aca="1" ref="AQ29" ca="1">IF($B29="","",IF(ISBLANK(INDIRECT("R9.Web!D"&amp;SUM(18,38*7,10))),"",INDIRECT("R9.Web!D"&amp;SUM(18,38*7,10))))</f>
        <v/>
      </c>
      <c r="AR29" s="75" t="str" cm="1">
        <f t="array" aca="1" ref="AR29" ca="1">IF($B29="","",IF(ISBLANK(INDIRECT("R9.Web!D"&amp;SUM(18,38*8,10))),"",INDIRECT("R9.Web!D"&amp;SUM(18,38*8,10))))</f>
        <v/>
      </c>
      <c r="AS29" s="75" t="str" cm="1">
        <f t="array" aca="1" ref="AS29" ca="1">IF($B29="","",IF(ISBLANK(INDIRECT("R9.Web!D"&amp;SUM(18,38*9,10))),"",INDIRECT("R9.Web!D"&amp;SUM(18,38*9,10))))</f>
        <v/>
      </c>
      <c r="AT29" s="75" t="str" cm="1">
        <f t="array" aca="1" ref="AT29" ca="1">IF($B29="","",IF(ISBLANK(INDIRECT("R9.Web!D"&amp;SUM(18,38*10,10))),"",INDIRECT("R9.Web!D"&amp;SUM(18,38*10,10))))</f>
        <v/>
      </c>
      <c r="AU29" s="75" t="str" cm="1">
        <f t="array" aca="1" ref="AU29" ca="1">IF($B29="","",IF(ISBLANK(INDIRECT("R9.Web!D"&amp;SUM(18,38*11,10))),"",INDIRECT("R9.Web!D"&amp;SUM(18,38*11,10))))</f>
        <v/>
      </c>
      <c r="AV29" s="75" t="str" cm="1">
        <f t="array" aca="1" ref="AV29" ca="1">IF($B29="","",IF(ISBLANK(INDIRECT("R9.Web!D"&amp;SUM(18,38*12,10))),"",INDIRECT("R9.Web!D"&amp;SUM(18,38*12,10))))</f>
        <v/>
      </c>
      <c r="AW29" s="75" t="str" cm="1">
        <f t="array" aca="1" ref="AW29" ca="1">IF($B29="","",IF(ISBLANK(INDIRECT("R9.Web!D"&amp;SUM(18,38*13,10))),"",INDIRECT("R9.Web!D"&amp;SUM(18,38*13,10))))</f>
        <v/>
      </c>
      <c r="AX29" s="75" t="str" cm="1">
        <f t="array" aca="1" ref="AX29" ca="1">IF($B29="","",IF(ISBLANK(INDIRECT("R9.Web!D"&amp;SUM(18,38*14,10))),"",INDIRECT("R9.Web!D"&amp;SUM(18,38*14,10))))</f>
        <v/>
      </c>
      <c r="AY29" s="75" t="str" cm="1">
        <f t="array" aca="1" ref="AY29" ca="1">IF($B29="","",IF(ISBLANK(INDIRECT("R9.Web!D"&amp;SUM(18,38*15,10))),"",INDIRECT("R9.Web!D"&amp;SUM(18,38*15,10))))</f>
        <v/>
      </c>
      <c r="AZ29" s="75" t="str" cm="1">
        <f t="array" aca="1" ref="AZ29" ca="1">IF($B29="","",IF(ISBLANK(INDIRECT("R9.Web!D"&amp;SUM(18,38*16,10))),"",INDIRECT("R9.Web!D"&amp;SUM(18,38*16,10))))</f>
        <v/>
      </c>
      <c r="BA29" s="75" t="str" cm="1">
        <f t="array" aca="1" ref="BA29" ca="1">IF($B29="","",IF(ISBLANK(INDIRECT("R9.Web!D"&amp;SUM(18,38*17,10))),"",INDIRECT("R9.Web!D"&amp;SUM(18,38*17,10))))</f>
        <v/>
      </c>
      <c r="BB29" s="75" t="str" cm="1">
        <f t="array" aca="1" ref="BB29" ca="1">IF($B29="","",IF(ISBLANK(INDIRECT("R9.Web!D"&amp;SUM(18,38*18,10))),"",INDIRECT("R9.Web!D"&amp;SUM(18,38*18,10))))</f>
        <v/>
      </c>
      <c r="BC29" s="75" t="str" cm="1">
        <f t="array" aca="1" ref="BC29" ca="1">IF($B29="","",IF(ISBLANK(INDIRECT("R9.Web!D"&amp;SUM(18,38*19,10))),"",INDIRECT("R9.Web!D"&amp;SUM(18,38*19,10))))</f>
        <v/>
      </c>
      <c r="BD29" s="75" t="str" cm="1">
        <f t="array" aca="1" ref="BD29" ca="1">IF($B29="","",IF(ISBLANK(INDIRECT("R9.Web!D"&amp;SUM(18,38*20,10))),"",INDIRECT("R9.Web!D"&amp;SUM(18,38*20,10))))</f>
        <v/>
      </c>
      <c r="BE29" s="75" t="str" cm="1">
        <f t="array" aca="1" ref="BE29" ca="1">IF($B29="","",IF(ISBLANK(INDIRECT("R9.Web!D"&amp;SUM(18,38*21,10))),"",INDIRECT("R9.Web!D"&amp;SUM(18,38*21,10))))</f>
        <v/>
      </c>
      <c r="BF29" s="75" t="str" cm="1">
        <f t="array" aca="1" ref="BF29" ca="1">IF($B29="","",IF(ISBLANK(INDIRECT("R9.Web!D"&amp;SUM(18,38*22,10))),"",INDIRECT("R9.Web!D"&amp;SUM(18,38*22,10))))</f>
        <v/>
      </c>
      <c r="BG29" s="75" t="str" cm="1">
        <f t="array" aca="1" ref="BG29" ca="1">IF($B29="","",IF(ISBLANK(INDIRECT("R9.Web!D"&amp;SUM(18,38*23,10))),"",INDIRECT("R9.Web!D"&amp;SUM(18,38*23,10))))</f>
        <v/>
      </c>
      <c r="BH29" s="75" t="str" cm="1">
        <f t="array" aca="1" ref="BH29" ca="1">IF($B29="","",IF(ISBLANK(INDIRECT("R9.Web!D"&amp;SUM(18,38*24,10))),"",INDIRECT("R9.Web!D"&amp;SUM(18,38*24,10))))</f>
        <v/>
      </c>
      <c r="BI29" s="75" t="str" cm="1">
        <f t="array" aca="1" ref="BI29" ca="1">IF($B29="","",IF(ISBLANK(INDIRECT("R9.Web!D"&amp;SUM(18,38*25,10))),"",INDIRECT("R9.Web!D"&amp;SUM(18,38*25,10))))</f>
        <v/>
      </c>
      <c r="BJ29" s="75" t="str" cm="1">
        <f t="array" aca="1" ref="BJ29" ca="1">IF($B29="","",IF(ISBLANK(INDIRECT("R9.Web!D"&amp;SUM(18,38*26,10))),"",INDIRECT("R9.Web!D"&amp;SUM(18,38*26,10))))</f>
        <v/>
      </c>
      <c r="BK29" s="75" t="str" cm="1">
        <f t="array" aca="1" ref="BK29" ca="1">IF($B29="","",IF(ISBLANK(INDIRECT("R9.Web!D"&amp;SUM(18,38*27,10))),"",INDIRECT("R9.Web!D"&amp;SUM(18,38*27,10))))</f>
        <v/>
      </c>
      <c r="BL29" s="75" t="str" cm="1">
        <f t="array" aca="1" ref="BL29" ca="1">IF($B29="","",IF(ISBLANK(INDIRECT("R9.Web!D"&amp;SUM(18,38*28,10))),"",INDIRECT("R9.Web!D"&amp;SUM(18,38*28,10))))</f>
        <v/>
      </c>
      <c r="BM29" s="75" t="str" cm="1">
        <f t="array" aca="1" ref="BM29" ca="1">IF($B29="","",IF(ISBLANK(INDIRECT("R9.Web!D"&amp;SUM(18,38*29,10))),"",INDIRECT("R9.Web!D"&amp;SUM(18,38*29,10))))</f>
        <v/>
      </c>
      <c r="BN29" s="75" t="str" cm="1">
        <f t="array" aca="1" ref="BN29" ca="1">IF($B29="","",IF(ISBLANK(INDIRECT("R9.Web!D"&amp;SUM(18,38*30,10))),"",INDIRECT("R9.Web!D"&amp;SUM(18,38*30,10))))</f>
        <v/>
      </c>
      <c r="BO29" s="75" t="str" cm="1">
        <f t="array" aca="1" ref="BO29" ca="1">IF($B29="","",IF(ISBLANK(INDIRECT("R9.Web!D"&amp;SUM(18,38*31,10))),"",INDIRECT("R9.Web!D"&amp;SUM(18,38*31,10))))</f>
        <v/>
      </c>
      <c r="BP29" s="75" t="str" cm="1">
        <f t="array" aca="1" ref="BP29" ca="1">IF($B29="","",IF(ISBLANK(INDIRECT("R9.Web!D"&amp;SUM(18,38*32,10))),"",INDIRECT("R9.Web!D"&amp;SUM(18,38*32,10))))</f>
        <v/>
      </c>
      <c r="BQ29" s="75" t="str" cm="1">
        <f t="array" aca="1" ref="BQ29" ca="1">IF($B29="","",IF(ISBLANK(INDIRECT("R9.Web!D"&amp;SUM(18,38*33,10))),"",INDIRECT("R9.Web!D"&amp;SUM(18,38*33,10))))</f>
        <v/>
      </c>
      <c r="BR29" s="75" t="str" cm="1">
        <f t="array" aca="1" ref="BR29" ca="1">IF($B29="","",IF(ISBLANK(INDIRECT("R9.Web!D"&amp;SUM(18,38*34,10))),"",INDIRECT("R9.Web!D"&amp;SUM(18,38*34,10))))</f>
        <v/>
      </c>
      <c r="BS29" s="75" t="str" cm="1">
        <f t="array" aca="1" ref="BS29" ca="1">IF($B29="","",IF(ISBLANK(INDIRECT("R9.Web!D"&amp;SUM(18,38*35,10))),"",INDIRECT("R9.Web!D"&amp;SUM(18,38*35,10))))</f>
        <v/>
      </c>
      <c r="BT29" s="75" t="str" cm="1">
        <f t="array" aca="1" ref="BT29" ca="1">IF($B29="","",IF(ISBLANK(INDIRECT("R9.Web!D"&amp;SUM(18,38*36,10))),"",INDIRECT("R9.Web!D"&amp;SUM(18,38*36,10))))</f>
        <v/>
      </c>
      <c r="BU29" s="75" t="str" cm="1">
        <f t="array" aca="1" ref="BU29" ca="1">IF($B29="","",IF(ISBLANK(INDIRECT("R9.Web!D"&amp;SUM(18,38*37,10))),"",INDIRECT("R9.Web!D"&amp;SUM(18,38*37,10))))</f>
        <v/>
      </c>
      <c r="BV29" s="75" t="str" cm="1">
        <f t="array" aca="1" ref="BV29" ca="1">IF($B29="","",IF(ISBLANK(INDIRECT("R9.Web!D"&amp;SUM(18,38*38,10))),"",INDIRECT("R9.Web!D"&amp;SUM(18,38*38,10))))</f>
        <v/>
      </c>
      <c r="BW29" s="75" t="str" cm="1">
        <f t="array" aca="1" ref="BW29" ca="1">IF($B29="","",IF(ISBLANK(INDIRECT("R9.Web!D"&amp;SUM(18,38*39,10))),"",INDIRECT("R9.Web!D"&amp;SUM(18,38*39,10))))</f>
        <v/>
      </c>
      <c r="BX29" s="75" t="str" cm="1">
        <f t="array" aca="1" ref="BX29" ca="1">IF($B29="","",IF(ISBLANK(INDIRECT("R9.Web!D"&amp;SUM(18,38*40,10))),"",INDIRECT("R9.Web!D"&amp;SUM(18,38*40,10))))</f>
        <v/>
      </c>
      <c r="BY29" s="75" t="str" cm="1">
        <f t="array" aca="1" ref="BY29" ca="1">IF($B29="","",IF(ISBLANK(INDIRECT("R9.Web!D"&amp;SUM(18,38*41,10))),"",INDIRECT("R9.Web!D"&amp;SUM(18,38*41,10))))</f>
        <v/>
      </c>
      <c r="BZ29" s="75" t="str" cm="1">
        <f t="array" aca="1" ref="BZ29" ca="1">IF($B29="","",IF(ISBLANK(INDIRECT("R9.Web!D"&amp;SUM(18,38*42,10))),"",INDIRECT("R9.Web!D"&amp;SUM(18,38*42,10))))</f>
        <v/>
      </c>
      <c r="CA29" s="75" t="str" cm="1">
        <f t="array" aca="1" ref="CA29" ca="1">IF($B29="","",IF(ISBLANK(INDIRECT("R9.Web!D"&amp;SUM(18,38*43,10))),"",INDIRECT("R9.Web!D"&amp;SUM(18,38*43,10))))</f>
        <v/>
      </c>
      <c r="CB29" s="75" t="str" cm="1">
        <f t="array" aca="1" ref="CB29" ca="1">IF($B29="","",IF(ISBLANK(INDIRECT("R9.Web!D"&amp;SUM(18,38*44,10))),"",INDIRECT("R9.Web!D"&amp;SUM(18,38*44,10))))</f>
        <v/>
      </c>
      <c r="CC29" s="75" t="str" cm="1">
        <f t="array" aca="1" ref="CC29" ca="1">IF($B29="","",IF(ISBLANK(INDIRECT("R9.Web!D"&amp;SUM(18,38*45,10))),"",INDIRECT("R9.Web!D"&amp;SUM(18,38*45,10))))</f>
        <v/>
      </c>
      <c r="CD29" s="75" t="str" cm="1">
        <f t="array" aca="1" ref="CD29" ca="1">IF($B29="","",IF(ISBLANK(INDIRECT("R9.Web!D"&amp;SUM(18,38*46,10))),"",INDIRECT("R9.Web!D"&amp;SUM(18,38*46,10))))</f>
        <v/>
      </c>
      <c r="CE29" s="75" t="str" cm="1">
        <f t="array" aca="1" ref="CE29" ca="1">IF($B29="","",IF(ISBLANK(INDIRECT("R9.Web!D"&amp;SUM(18,38*47,10))),"",INDIRECT("R9.Web!D"&amp;SUM(18,38*47,10))))</f>
        <v/>
      </c>
      <c r="CF29" s="75" t="str" cm="1">
        <f t="array" aca="1" ref="CF29" ca="1">IF($B29="","",IF(ISBLANK(INDIRECT("R9.Web!D"&amp;SUM(18,38*48,10))),"",INDIRECT("R9.Web!D"&amp;SUM(18,38*48,10))))</f>
        <v/>
      </c>
      <c r="CG29" s="75" t="str" cm="1">
        <f t="array" aca="1" ref="CG29" ca="1">IF($B29="","",IF(ISBLANK(INDIRECT("R9.Web!D"&amp;SUM(18,38*49,10))),"",INDIRECT("R9.Web!D"&amp;SUM(18,38*49,10))))</f>
        <v/>
      </c>
      <c r="CH29" s="75" t="str" cm="1">
        <f t="array" aca="1" ref="CH29" ca="1">IF($B29="","",IF(ISBLANK(INDIRECT("R11.Software!D"&amp;SUM(18,38*0,10))),"",INDIRECT("R11.Software!D"&amp;SUM(18,38*0,10))))</f>
        <v/>
      </c>
      <c r="CI29" s="75" t="str" cm="1">
        <f t="array" aca="1" ref="CI29" ca="1">IF($B29="","",IF(ISBLANK(INDIRECT("R11.Software!D"&amp;SUM(18,38*1,10))),"",INDIRECT("R11.Software!D"&amp;SUM(18,38*1,10))))</f>
        <v/>
      </c>
      <c r="CJ29" s="75" t="str" cm="1">
        <f t="array" aca="1" ref="CJ29" ca="1">IF($B29="","",IF(ISBLANK(INDIRECT("R11.Software!D"&amp;SUM(18,38*2,10))),"",INDIRECT("R11.Software!D"&amp;SUM(18,38*2,10))))</f>
        <v/>
      </c>
      <c r="CK29" s="75" t="str" cm="1">
        <f t="array" aca="1" ref="CK29" ca="1">IF($B29="","",IF(ISBLANK(INDIRECT("R11.Software!D"&amp;SUM(18,38*3,10))),"",INDIRECT("R11.Software!D"&amp;SUM(18,38*3,10))))</f>
        <v/>
      </c>
      <c r="CL29" s="75" t="str" cm="1">
        <f t="array" aca="1" ref="CL29" ca="1">IF($B29="","",IF(ISBLANK(INDIRECT("R11.Software!D"&amp;SUM(18,38*4,10))),"",INDIRECT("R11.Software!D"&amp;SUM(18,38*4,10))))</f>
        <v/>
      </c>
      <c r="CM29" s="75" t="str" cm="1">
        <f t="array" aca="1" ref="CM29" ca="1">IF($B29="","",IF(ISBLANK(INDIRECT("R11.Software!D"&amp;SUM(18,38*5,10))),"",INDIRECT("R11.Software!D"&amp;SUM(18,38*5,10))))</f>
        <v/>
      </c>
      <c r="CN29" s="75" t="str" cm="1">
        <f t="array" aca="1" ref="CN29" ca="1">IF($B29="","",IF(ISBLANK(INDIRECT("R12.ServiciosApoyo!D"&amp;SUM(18,38*0,10))),"",INDIRECT("R12.ServiciosApoyo!D"&amp;SUM(18,38*0,10))))</f>
        <v/>
      </c>
      <c r="CO29" s="75" t="str" cm="1">
        <f t="array" aca="1" ref="CO29" ca="1">IF($B29="","",IF(ISBLANK(INDIRECT("R12.ServiciosApoyo!D"&amp;SUM(18,38*1,10))),"",INDIRECT("R12.ServiciosApoyo!D"&amp;SUM(18,38*1,10))))</f>
        <v/>
      </c>
      <c r="CP29" s="75" t="str" cm="1">
        <f t="array" aca="1" ref="CP29" ca="1">IF($B29="","",IF(ISBLANK(INDIRECT("R12.ServiciosApoyo!D"&amp;SUM(18,38*2,10))),"",INDIRECT("R12.ServiciosApoyo!D"&amp;SUM(18,38*2,10))))</f>
        <v/>
      </c>
      <c r="CQ29" s="75" t="str" cm="1">
        <f t="array" aca="1" ref="CQ29" ca="1">IF($B29="","",IF(ISBLANK(INDIRECT("R12.ServiciosApoyo!D"&amp;SUM(18,38*3,10))),"",INDIRECT("R12.ServiciosApoyo!D"&amp;SUM(18,38*3,10))))</f>
        <v/>
      </c>
      <c r="CR29" s="75" t="str" cm="1">
        <f t="array" aca="1" ref="CR29" ca="1">IF($B29="","",IF(ISBLANK(INDIRECT("R12.ServiciosApoyo!D"&amp;SUM(18,38*4,10))),"",INDIRECT("R12.ServiciosApoyo!D"&amp;SUM(18,38*4,10))))</f>
        <v/>
      </c>
      <c r="CU29" s="76"/>
    </row>
    <row r="30" spans="2:100" ht="20.5">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5">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5">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5">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5">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5">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5">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5">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5">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5">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5">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5">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5">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5">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5">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5">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5">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5">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5">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5">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5">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5">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5">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5">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5">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NO 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NO 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NO 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NO 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NO 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5">
      <c r="AI56" s="76"/>
    </row>
    <row r="58" spans="2:99" ht="30.75" customHeight="1" thickBot="1">
      <c r="B58" s="238" t="s">
        <v>264</v>
      </c>
      <c r="C58" s="238"/>
      <c r="D58" s="238"/>
    </row>
    <row r="59" spans="2:99" ht="23.25" customHeight="1">
      <c r="B59" s="232" t="s">
        <v>270</v>
      </c>
      <c r="C59" s="233"/>
      <c r="D59" s="234"/>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58" type="noConversion"/>
  <conditionalFormatting sqref="E61:AW95">
    <cfRule type="cellIs" dxfId="16" priority="783" operator="equal">
      <formula>"N/D"</formula>
    </cfRule>
    <cfRule type="cellIs" dxfId="15" priority="782" operator="equal">
      <formula>"N/T"</formula>
    </cfRule>
    <cfRule type="cellIs" dxfId="14" priority="780" operator="equal">
      <formula>"Falla"</formula>
    </cfRule>
    <cfRule type="cellIs" dxfId="13" priority="779" operator="equal">
      <formula>"Pasa"</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6" operator="equal">
      <formula>"ERROR"</formula>
    </cfRule>
    <cfRule type="cellIs" dxfId="5" priority="785" operator="equal">
      <formula>"NO CONFORME"</formula>
    </cfRule>
    <cfRule type="cellIs" dxfId="4" priority="784" operator="equal">
      <formula>"CONFORME"</formula>
    </cfRule>
  </conditionalFormatting>
  <conditionalFormatting sqref="K14:L14">
    <cfRule type="cellIs" dxfId="3" priority="291" operator="equal">
      <formula>"NO"</formula>
    </cfRule>
    <cfRule type="cellIs" dxfId="2" priority="290" operator="equal">
      <formula>"SI"</formula>
    </cfRule>
  </conditionalFormatting>
  <conditionalFormatting sqref="CU20">
    <cfRule type="cellIs" dxfId="1" priority="789" operator="equal">
      <formula>"PASA"</formula>
    </cfRule>
    <cfRule type="cellIs" dxfId="0" priority="788" operator="equal">
      <formula>"FALLA"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453125" defaultRowHeight="12.5"/>
  <cols>
    <col min="13" max="13" width="12.36328125" customWidth="1"/>
    <col min="14" max="14" width="13.453125" customWidth="1"/>
  </cols>
  <sheetData>
    <row r="1" spans="1:64" ht="25.2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25"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45312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453125" customWidth="1"/>
    <col min="12" max="12" width="3.81640625" customWidth="1"/>
    <col min="13" max="13" width="8.6328125" customWidth="1"/>
    <col min="14" max="14" width="3.81640625" customWidth="1"/>
    <col min="15" max="15" width="25.36328125" customWidth="1"/>
    <col min="16" max="16" width="3.81640625" customWidth="1"/>
    <col min="18" max="18" width="3.81640625" customWidth="1"/>
    <col min="19" max="19" width="22.453125" customWidth="1"/>
    <col min="20" max="20" width="3.81640625" customWidth="1"/>
    <col min="21" max="21" width="11.45312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5.5">
      <c r="B23" s="30" t="s">
        <v>447</v>
      </c>
    </row>
    <row r="25" spans="2:15" ht="15.5">
      <c r="B25" s="31" t="s">
        <v>448</v>
      </c>
      <c r="C25" s="32">
        <v>0.1</v>
      </c>
    </row>
    <row r="26" spans="2:15" ht="15.5">
      <c r="B26" s="31" t="s">
        <v>449</v>
      </c>
      <c r="C26" s="32">
        <v>0.5</v>
      </c>
    </row>
    <row r="27" spans="2:15" ht="15.5">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2" max="2" width="13.453125" bestFit="1" customWidth="1"/>
    <col min="3" max="3" width="48.453125" customWidth="1"/>
    <col min="4" max="4" width="14.36328125" customWidth="1"/>
    <col min="5" max="5" width="14.1796875" customWidth="1"/>
    <col min="9" max="9" width="2.453125" customWidth="1"/>
    <col min="10" max="10" width="2.6328125" customWidth="1"/>
    <col min="11" max="11" width="27.453125" customWidth="1"/>
    <col min="13" max="13" width="12.36328125" bestFit="1" customWidth="1"/>
    <col min="14" max="14" width="9.1796875" bestFit="1" customWidth="1"/>
    <col min="15" max="15" width="5.453125" bestFit="1" customWidth="1"/>
    <col min="16" max="16" width="8.81640625" bestFit="1" customWidth="1"/>
    <col min="17" max="19" width="3.453125" customWidth="1"/>
    <col min="21" max="21" width="14.81640625" bestFit="1" customWidth="1"/>
    <col min="22" max="22" width="21.36328125" bestFit="1" customWidth="1"/>
    <col min="26" max="26" width="21.36328125" bestFit="1" customWidth="1"/>
    <col min="120" max="120" width="14.81640625" bestFit="1" customWidth="1"/>
    <col min="125" max="125" width="21.36328125" bestFit="1" customWidth="1"/>
  </cols>
  <sheetData>
    <row r="1" spans="1:170" ht="13">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ht="13">
      <c r="A2" t="s">
        <v>459</v>
      </c>
      <c r="B2" s="111" t="str">
        <f>'00.Info'!N2</f>
        <v>Versión: 2.0.1</v>
      </c>
      <c r="C2" s="109" t="s">
        <v>14</v>
      </c>
      <c r="D2" s="112" t="str">
        <f>'01.Definición de ámbito'!C7</f>
        <v>SUBDIRECCIÓN GENERAL DE ADMINISTRACIÓN ELECTRÓNICA</v>
      </c>
      <c r="E2" s="109" t="s">
        <v>52</v>
      </c>
      <c r="F2" s="112" t="str">
        <f>'02.Tecnologías'!C9</f>
        <v>Sí</v>
      </c>
      <c r="G2" s="161" t="s">
        <v>460</v>
      </c>
      <c r="H2" s="161" t="s">
        <v>461</v>
      </c>
      <c r="I2" s="161"/>
      <c r="J2" s="161"/>
      <c r="K2" s="118" t="s">
        <v>462</v>
      </c>
      <c r="L2" s="163">
        <f>'03.Muestra'!D45</f>
        <v>8</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ht="13">
      <c r="C3" s="109" t="s">
        <v>15</v>
      </c>
      <c r="D3" s="112" t="str">
        <f>'01.Definición de ámbito'!C9</f>
        <v>A13043893</v>
      </c>
      <c r="E3" s="109" t="s">
        <v>56</v>
      </c>
      <c r="F3" s="112" t="str">
        <f>'02.Tecnologías'!C10</f>
        <v>No</v>
      </c>
      <c r="G3" s="112">
        <f>'02.Tecnologías'!K13</f>
        <v>0</v>
      </c>
      <c r="H3" s="112">
        <f>'02.Tecnologías'!L13</f>
        <v>0</v>
      </c>
      <c r="I3" s="162"/>
      <c r="J3" s="162"/>
      <c r="K3" s="118" t="s">
        <v>468</v>
      </c>
      <c r="L3" s="163">
        <f>'03.Muestra'!D47</f>
        <v>6</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https://www.comunidad.madrid/tacp</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N/A</v>
      </c>
      <c r="BI3" s="111" t="str">
        <f ca="1">RESULTADOS!AM20</f>
        <v>N/A</v>
      </c>
      <c r="BJ3" s="111" t="str">
        <f ca="1">RESULTADOS!AN20</f>
        <v>N/A</v>
      </c>
      <c r="BK3" s="111" t="str">
        <f ca="1">RESULTADOS!AO20</f>
        <v>Pasa</v>
      </c>
      <c r="BL3" s="111" t="str">
        <f ca="1">RESULTADOS!AP20</f>
        <v>Falla</v>
      </c>
      <c r="BM3" s="111" t="str">
        <f ca="1">RESULTADOS!AQ20</f>
        <v>Pasa</v>
      </c>
      <c r="BN3" s="111" t="str">
        <f ca="1">RESULTADOS!AR20</f>
        <v>Pasa</v>
      </c>
      <c r="BO3" s="111" t="str">
        <f ca="1">RESULTADOS!AS20</f>
        <v>N/A</v>
      </c>
      <c r="BP3" s="111" t="str">
        <f ca="1">RESULTADOS!AT20</f>
        <v>Pasa</v>
      </c>
      <c r="BQ3" s="111" t="str">
        <f ca="1">RESULTADOS!AU20</f>
        <v>N/A</v>
      </c>
      <c r="BR3" s="111" t="str">
        <f ca="1">RESULTADOS!AV20</f>
        <v>Falla</v>
      </c>
      <c r="BS3" s="111" t="str">
        <f ca="1">RESULTADOS!AW20</f>
        <v>Pasa</v>
      </c>
      <c r="BT3" s="111" t="str">
        <f ca="1">RESULTADOS!AX20</f>
        <v>N/A</v>
      </c>
      <c r="BU3" s="111" t="str">
        <f ca="1">RESULTADOS!AY20</f>
        <v>Pasa</v>
      </c>
      <c r="BV3" s="111" t="str">
        <f ca="1">RESULTADOS!AZ20</f>
        <v>Falla</v>
      </c>
      <c r="BW3" s="111" t="str">
        <f ca="1">RESULTADOS!BA20</f>
        <v>Pasa</v>
      </c>
      <c r="BX3" s="111" t="str">
        <f ca="1">RESULTADOS!BB20</f>
        <v>Pasa</v>
      </c>
      <c r="BY3" s="111" t="str">
        <f ca="1">RESULTADOS!BC20</f>
        <v>Falla</v>
      </c>
      <c r="BZ3" s="111" t="str">
        <f ca="1">RESULTADOS!BD20</f>
        <v>Falla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N/A</v>
      </c>
      <c r="CX3" s="111" t="str">
        <f ca="1">RESULTADOS!CB20</f>
        <v>N/A</v>
      </c>
      <c r="CY3" s="111" t="str">
        <f ca="1">RESULTADOS!CC20</f>
        <v>N/A</v>
      </c>
      <c r="CZ3" s="111" t="str">
        <f ca="1">RESULTADOS!CD20</f>
        <v>Pasa</v>
      </c>
      <c r="DA3" s="111" t="str">
        <f ca="1">RESULTADOS!CE20</f>
        <v>Pasa</v>
      </c>
      <c r="DB3" s="111" t="str">
        <f ca="1">RESULTADOS!CF20</f>
        <v>N/A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ht="13">
      <c r="C4" s="109" t="s">
        <v>16</v>
      </c>
      <c r="D4" s="112" t="str">
        <f>'01.Definición de ámbito'!C11</f>
        <v>COMUNIDAD DE MADRID</v>
      </c>
      <c r="E4" s="109" t="s">
        <v>59</v>
      </c>
      <c r="F4" s="112" t="str">
        <f>'02.Tecnologías'!C11</f>
        <v>No</v>
      </c>
      <c r="G4" s="112">
        <f>'02.Tecnologías'!K14</f>
        <v>0</v>
      </c>
      <c r="H4" s="112">
        <f>'02.Tecnologías'!L14</f>
        <v>0</v>
      </c>
      <c r="I4" s="162"/>
      <c r="J4" s="162"/>
      <c r="K4" s="118" t="s">
        <v>469</v>
      </c>
      <c r="L4" s="163">
        <f>'03.Muestra'!D49</f>
        <v>2</v>
      </c>
      <c r="M4" s="109"/>
      <c r="T4" s="113">
        <f>RESULTADOS!B21</f>
        <v>2</v>
      </c>
      <c r="U4" s="113" t="str">
        <f>RESULTADOS!C21</f>
        <v>Presentación electrónica</v>
      </c>
      <c r="V4" s="113" t="str">
        <f t="shared" ref="V4:V37" si="0">IF(T4&lt;&gt;"","Página web","")</f>
        <v>Página web</v>
      </c>
      <c r="W4" s="113" t="str">
        <v>Aleatoria</v>
      </c>
      <c r="X4" s="113" t="str">
        <f>RESULTADOS!D21</f>
        <v>https://www.comunidad.madrid/tacp/el-tribunal/presentacion-electronica-e-impresos-normalizados</v>
      </c>
      <c r="Y4" s="113" t="str">
        <v>Home - El tribunal (Presentación electrónica)</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Pasa</v>
      </c>
      <c r="BL4" s="111" t="str">
        <f ca="1">RESULTADOS!AP21</f>
        <v>Falla</v>
      </c>
      <c r="BM4" s="111" t="str">
        <f ca="1">RESULTADOS!AQ21</f>
        <v>Pasa</v>
      </c>
      <c r="BN4" s="111" t="str">
        <f ca="1">RESULTADOS!AR21</f>
        <v>Pasa</v>
      </c>
      <c r="BO4" s="111" t="str">
        <f ca="1">RESULTADOS!AS21</f>
        <v>N/A</v>
      </c>
      <c r="BP4" s="111" t="str">
        <f ca="1">RESULTADOS!AT21</f>
        <v>Pasa</v>
      </c>
      <c r="BQ4" s="111" t="str">
        <f ca="1">RESULTADOS!AU21</f>
        <v>N/A</v>
      </c>
      <c r="BR4" s="111" t="str">
        <f ca="1">RESULTADOS!AV21</f>
        <v>Falla</v>
      </c>
      <c r="BS4" s="111" t="str">
        <f ca="1">RESULTADOS!AW21</f>
        <v>Pasa</v>
      </c>
      <c r="BT4" s="111" t="str">
        <f ca="1">RESULTADOS!AX21</f>
        <v>N/A</v>
      </c>
      <c r="BU4" s="111" t="str">
        <f ca="1">RESULTADOS!AY21</f>
        <v>Pasa</v>
      </c>
      <c r="BV4" s="111" t="str">
        <f ca="1">RESULTADOS!AZ21</f>
        <v>Falla</v>
      </c>
      <c r="BW4" s="111" t="str">
        <f ca="1">RESULTADOS!BA21</f>
        <v>Pasa</v>
      </c>
      <c r="BX4" s="111" t="str">
        <f ca="1">RESULTADOS!BB21</f>
        <v>Pasa</v>
      </c>
      <c r="BY4" s="111" t="str">
        <f ca="1">RESULTADOS!BC21</f>
        <v>Falla</v>
      </c>
      <c r="BZ4" s="111" t="str">
        <f ca="1">RESULTADOS!BD21</f>
        <v>Falla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N/A</v>
      </c>
      <c r="CT4" s="111" t="str">
        <f ca="1">RESULTADOS!BX21</f>
        <v>Pasa</v>
      </c>
      <c r="CU4" s="111" t="str">
        <f ca="1">RESULTADOS!BY21</f>
        <v>Pasa</v>
      </c>
      <c r="CV4" s="111" t="str">
        <f ca="1">RESULTADOS!BZ21</f>
        <v>N/A</v>
      </c>
      <c r="CW4" s="111" t="str">
        <f ca="1">RESULTADOS!CA21</f>
        <v>N/A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ht="13">
      <c r="C5" s="109" t="s">
        <v>17</v>
      </c>
      <c r="D5" s="112" t="str">
        <f>'01.Definición de ámbito'!C13</f>
        <v>A13002908</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Memorias</v>
      </c>
      <c r="V5" s="113" t="str">
        <f t="shared" si="0"/>
        <v>Página web</v>
      </c>
      <c r="W5" s="113" t="str">
        <v>Aleatoria</v>
      </c>
      <c r="X5" s="113" t="str">
        <f>RESULTADOS!D22</f>
        <v>https://www.comunidad.madrid/tacp/memorias</v>
      </c>
      <c r="Y5" s="113" t="str">
        <v>Home - Publicaciones (Memorias)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Falla</v>
      </c>
      <c r="BG5" s="111" t="str">
        <f ca="1">RESULTADOS!AK22</f>
        <v>N/A</v>
      </c>
      <c r="BH5" s="111" t="str">
        <f ca="1">RESULTADOS!AL22</f>
        <v>N/A</v>
      </c>
      <c r="BI5" s="111" t="str">
        <f ca="1">RESULTADOS!AM22</f>
        <v>N/A</v>
      </c>
      <c r="BJ5" s="111" t="str">
        <f ca="1">RESULTADOS!AN22</f>
        <v>N/A</v>
      </c>
      <c r="BK5" s="111" t="str">
        <f ca="1">RESULTADOS!AO22</f>
        <v>Pasa</v>
      </c>
      <c r="BL5" s="111" t="str">
        <f ca="1">RESULTADOS!AP22</f>
        <v>Falla</v>
      </c>
      <c r="BM5" s="111" t="str">
        <f ca="1">RESULTADOS!AQ22</f>
        <v>Pasa</v>
      </c>
      <c r="BN5" s="111" t="str">
        <f ca="1">RESULTADOS!AR22</f>
        <v>Pasa</v>
      </c>
      <c r="BO5" s="111" t="str">
        <f ca="1">RESULTADOS!AS22</f>
        <v>N/A</v>
      </c>
      <c r="BP5" s="111" t="str">
        <f ca="1">RESULTADOS!AT22</f>
        <v>Pasa</v>
      </c>
      <c r="BQ5" s="111" t="str">
        <f ca="1">RESULTADOS!AU22</f>
        <v>N/A</v>
      </c>
      <c r="BR5" s="111" t="str">
        <f ca="1">RESULTADOS!AV22</f>
        <v>Falla</v>
      </c>
      <c r="BS5" s="111" t="str">
        <f ca="1">RESULTADOS!AW22</f>
        <v>Pasa</v>
      </c>
      <c r="BT5" s="111" t="str">
        <f ca="1">RESULTADOS!AX22</f>
        <v>N/A</v>
      </c>
      <c r="BU5" s="111" t="str">
        <f ca="1">RESULTADOS!AY22</f>
        <v>Pasa</v>
      </c>
      <c r="BV5" s="111" t="str">
        <f ca="1">RESULTADOS!AZ22</f>
        <v>Falla</v>
      </c>
      <c r="BW5" s="111" t="str">
        <f ca="1">RESULTADOS!BA22</f>
        <v>Pasa</v>
      </c>
      <c r="BX5" s="111" t="str">
        <f ca="1">RESULTADOS!BB22</f>
        <v>Pasa</v>
      </c>
      <c r="BY5" s="111" t="str">
        <f ca="1">RESULTADOS!BC22</f>
        <v>Falla</v>
      </c>
      <c r="BZ5" s="111" t="str">
        <f ca="1">RESULTADOS!BD22</f>
        <v>Falla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N/A</v>
      </c>
      <c r="CR5" s="111" t="str">
        <f ca="1">RESULTADOS!BV22</f>
        <v>Pasa</v>
      </c>
      <c r="CS5" s="111" t="str">
        <f ca="1">RESULTADOS!BW22</f>
        <v>N/A</v>
      </c>
      <c r="CT5" s="111" t="str">
        <f ca="1">RESULTADOS!BX22</f>
        <v>Pasa</v>
      </c>
      <c r="CU5" s="111" t="str">
        <f ca="1">RESULTADOS!BY22</f>
        <v>Pasa</v>
      </c>
      <c r="CV5" s="111" t="str">
        <f ca="1">RESULTADOS!BZ22</f>
        <v>N/A</v>
      </c>
      <c r="CW5" s="111" t="str">
        <f ca="1">RESULTADOS!CA22</f>
        <v>N/A</v>
      </c>
      <c r="CX5" s="111" t="str">
        <f ca="1">RESULTADOS!CB22</f>
        <v>N/A</v>
      </c>
      <c r="CY5" s="111" t="str">
        <f ca="1">RESULTADOS!CC22</f>
        <v>N/A</v>
      </c>
      <c r="CZ5" s="111" t="str">
        <f ca="1">RESULTADOS!CD22</f>
        <v>Pasa</v>
      </c>
      <c r="DA5" s="111" t="str">
        <f ca="1">RESULTADOS!CE22</f>
        <v>Pasa</v>
      </c>
      <c r="DB5" s="111" t="str">
        <f ca="1">RESULTADOS!CF22</f>
        <v>N/A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ht="13">
      <c r="C6" s="109" t="s">
        <v>18</v>
      </c>
      <c r="D6" s="112" t="str">
        <f>'01.Definición de ámbito'!C17</f>
        <v>MADRID DIGITAL</v>
      </c>
      <c r="E6" s="109" t="s">
        <v>67</v>
      </c>
      <c r="F6" s="112" t="str">
        <f>'02.Tecnologías'!C13</f>
        <v>Sí</v>
      </c>
      <c r="G6" s="112">
        <f>'02.Tecnologías'!K16</f>
        <v>0</v>
      </c>
      <c r="H6" s="112">
        <f>'02.Tecnologías'!L16</f>
        <v>0</v>
      </c>
      <c r="I6" s="162"/>
      <c r="J6" s="162"/>
      <c r="K6" s="109"/>
      <c r="L6" s="109"/>
      <c r="M6" s="109"/>
      <c r="T6" s="113">
        <f>RESULTADOS!B23</f>
        <v>4</v>
      </c>
      <c r="U6" s="113" t="str">
        <f>RESULTADOS!C23</f>
        <v>Buscador de resoluciones</v>
      </c>
      <c r="V6" s="113" t="str">
        <f t="shared" si="0"/>
        <v>Página web</v>
      </c>
      <c r="W6" s="113" t="str">
        <v>Búsqueda</v>
      </c>
      <c r="X6" s="113" t="str">
        <f>RESULTADOS!D23</f>
        <v>https://www.comunidad.madrid/tacp/busquedaresoluciones</v>
      </c>
      <c r="Y6" s="113" t="str">
        <v>Home - Buscador de resoluciones</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Pasa</v>
      </c>
      <c r="BL6" s="111" t="str">
        <f ca="1">RESULTADOS!AP23</f>
        <v>Falla</v>
      </c>
      <c r="BM6" s="111" t="str">
        <f ca="1">RESULTADOS!AQ23</f>
        <v>Falla</v>
      </c>
      <c r="BN6" s="111" t="str">
        <f ca="1">RESULTADOS!AR23</f>
        <v>Pasa</v>
      </c>
      <c r="BO6" s="111" t="str">
        <f ca="1">RESULTADOS!AS23</f>
        <v>N/A</v>
      </c>
      <c r="BP6" s="111" t="str">
        <f ca="1">RESULTADOS!AT23</f>
        <v>Pasa</v>
      </c>
      <c r="BQ6" s="111" t="str">
        <f ca="1">RESULTADOS!AU23</f>
        <v>N/A</v>
      </c>
      <c r="BR6" s="111" t="str">
        <f ca="1">RESULTADOS!AV23</f>
        <v>Falla</v>
      </c>
      <c r="BS6" s="111" t="str">
        <f ca="1">RESULTADOS!AW23</f>
        <v>Pasa</v>
      </c>
      <c r="BT6" s="111" t="str">
        <f ca="1">RESULTADOS!AX23</f>
        <v>N/A</v>
      </c>
      <c r="BU6" s="111" t="str">
        <f ca="1">RESULTADOS!AY23</f>
        <v>Pasa</v>
      </c>
      <c r="BV6" s="111" t="str">
        <f ca="1">RESULTADOS!AZ23</f>
        <v>Falla</v>
      </c>
      <c r="BW6" s="111" t="str">
        <f ca="1">RESULTADOS!BA23</f>
        <v>Pasa</v>
      </c>
      <c r="BX6" s="111" t="str">
        <f ca="1">RESULTADOS!BB23</f>
        <v>Pasa</v>
      </c>
      <c r="BY6" s="111" t="str">
        <f ca="1">RESULTADOS!BC23</f>
        <v>Falla</v>
      </c>
      <c r="BZ6" s="111" t="str">
        <f ca="1">RESULTADOS!BD23</f>
        <v>Falla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Falla</v>
      </c>
      <c r="CT6" s="111" t="str">
        <f ca="1">RESULTADOS!BX23</f>
        <v>Pasa</v>
      </c>
      <c r="CU6" s="111" t="str">
        <f ca="1">RESULTADOS!BY23</f>
        <v>Pasa</v>
      </c>
      <c r="CV6" s="111" t="str">
        <f ca="1">RESULTADOS!BZ23</f>
        <v>N/A</v>
      </c>
      <c r="CW6" s="111" t="str">
        <f ca="1">RESULTADOS!CA23</f>
        <v>Falla</v>
      </c>
      <c r="CX6" s="111" t="str">
        <f ca="1">RESULTADOS!CB23</f>
        <v>N/A</v>
      </c>
      <c r="CY6" s="111" t="str">
        <f ca="1">RESULTADOS!CC23</f>
        <v>N/A</v>
      </c>
      <c r="CZ6" s="111" t="str">
        <f ca="1">RESULTADOS!CD23</f>
        <v>Pasa</v>
      </c>
      <c r="DA6" s="111" t="str">
        <f ca="1">RESULTADOS!CE23</f>
        <v>Falla</v>
      </c>
      <c r="DB6" s="111" t="str">
        <f ca="1">RESULTADOS!CF23</f>
        <v>Pasa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ht="13">
      <c r="C7" s="109" t="s">
        <v>19</v>
      </c>
      <c r="D7" s="112" t="str">
        <f>'01.Definición de ámbito'!C19</f>
        <v>A13033692</v>
      </c>
      <c r="E7" s="109" t="s">
        <v>54</v>
      </c>
      <c r="F7" s="112" t="str">
        <f>'02.Tecnologías'!F9</f>
        <v>No</v>
      </c>
      <c r="G7" s="112">
        <f>'02.Tecnologías'!K17</f>
        <v>0</v>
      </c>
      <c r="H7" s="112">
        <f>'02.Tecnologías'!L17</f>
        <v>0</v>
      </c>
      <c r="I7" s="162"/>
      <c r="J7" s="162"/>
      <c r="K7" s="109"/>
      <c r="L7" s="109"/>
      <c r="M7" s="109"/>
      <c r="T7" s="113">
        <f>RESULTADOS!B24</f>
        <v>5</v>
      </c>
      <c r="U7" s="113" t="str">
        <f>RESULTADOS!C24</f>
        <v>Novedades</v>
      </c>
      <c r="V7" s="113" t="str">
        <f t="shared" si="0"/>
        <v>Página web</v>
      </c>
      <c r="W7" s="113" t="str">
        <v>Pagina tipo</v>
      </c>
      <c r="X7" s="113" t="str">
        <f>RESULTADOS!D24</f>
        <v>https://www.comunidad.madrid/tacp/novedades/publicacion-recursos-especiales-en-perfil-contratante</v>
      </c>
      <c r="Y7" s="113" t="str">
        <v>Home - Novedades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Falla</v>
      </c>
      <c r="BG7" s="111" t="str">
        <f ca="1">RESULTADOS!AK24</f>
        <v>N/A</v>
      </c>
      <c r="BH7" s="111" t="str">
        <f ca="1">RESULTADOS!AL24</f>
        <v>N/A</v>
      </c>
      <c r="BI7" s="111" t="str">
        <f ca="1">RESULTADOS!AM24</f>
        <v>N/A</v>
      </c>
      <c r="BJ7" s="111" t="str">
        <f ca="1">RESULTADOS!AN24</f>
        <v>N/A</v>
      </c>
      <c r="BK7" s="111" t="str">
        <f ca="1">RESULTADOS!AO24</f>
        <v>Pasa</v>
      </c>
      <c r="BL7" s="111" t="str">
        <f ca="1">RESULTADOS!AP24</f>
        <v>Falla</v>
      </c>
      <c r="BM7" s="111" t="str">
        <f ca="1">RESULTADOS!AQ24</f>
        <v>Pasa</v>
      </c>
      <c r="BN7" s="111" t="str">
        <f ca="1">RESULTADOS!AR24</f>
        <v>Pasa</v>
      </c>
      <c r="BO7" s="111" t="str">
        <f ca="1">RESULTADOS!AS24</f>
        <v>N/A</v>
      </c>
      <c r="BP7" s="111" t="str">
        <f ca="1">RESULTADOS!AT24</f>
        <v>Pasa</v>
      </c>
      <c r="BQ7" s="111" t="str">
        <f ca="1">RESULTADOS!AU24</f>
        <v>N/A</v>
      </c>
      <c r="BR7" s="111" t="str">
        <f ca="1">RESULTADOS!AV24</f>
        <v>Falla</v>
      </c>
      <c r="BS7" s="111" t="str">
        <f ca="1">RESULTADOS!AW24</f>
        <v>Pasa</v>
      </c>
      <c r="BT7" s="111" t="str">
        <f ca="1">RESULTADOS!AX24</f>
        <v>N/A</v>
      </c>
      <c r="BU7" s="111" t="str">
        <f ca="1">RESULTADOS!AY24</f>
        <v>Pasa</v>
      </c>
      <c r="BV7" s="111" t="str">
        <f ca="1">RESULTADOS!AZ24</f>
        <v>Falla</v>
      </c>
      <c r="BW7" s="111" t="str">
        <f ca="1">RESULTADOS!BA24</f>
        <v>Pasa</v>
      </c>
      <c r="BX7" s="111" t="str">
        <f ca="1">RESULTADOS!BB24</f>
        <v>Pasa</v>
      </c>
      <c r="BY7" s="111" t="str">
        <f ca="1">RESULTADOS!BC24</f>
        <v>Falla</v>
      </c>
      <c r="BZ7" s="111" t="str">
        <f ca="1">RESULTADOS!BD24</f>
        <v>Falla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N/A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ht="13">
      <c r="C8" s="109" t="s">
        <v>20</v>
      </c>
      <c r="D8" s="112" t="str">
        <f>'01.Definición de ámbito'!C21</f>
        <v>MD_CANALES_DIGITALES@madrid.org</v>
      </c>
      <c r="E8" s="109" t="s">
        <v>57</v>
      </c>
      <c r="F8" s="112" t="str">
        <f>'02.Tecnologías'!F10</f>
        <v>No</v>
      </c>
      <c r="G8" s="112">
        <f>'02.Tecnologías'!K18</f>
        <v>0</v>
      </c>
      <c r="H8" s="112">
        <f>'02.Tecnologías'!L18</f>
        <v>0</v>
      </c>
      <c r="I8" s="162"/>
      <c r="J8" s="162"/>
      <c r="K8" s="109"/>
      <c r="L8" s="109"/>
      <c r="M8" s="109"/>
      <c r="T8" s="113">
        <f>RESULTADOS!B25</f>
        <v>6</v>
      </c>
      <c r="U8" s="113" t="str">
        <f>RESULTADOS!C25</f>
        <v>Aviso Legal</v>
      </c>
      <c r="V8" s="113" t="str">
        <f t="shared" si="0"/>
        <v>Página web</v>
      </c>
      <c r="W8" s="113" t="str">
        <v>Legal</v>
      </c>
      <c r="X8" s="113" t="str">
        <f>RESULTADOS!D25</f>
        <v>https://www.comunidad.madrid/tacp/aviso-legal</v>
      </c>
      <c r="Y8" s="113" t="str">
        <v>Footer - Aviso Legal</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N/A</v>
      </c>
      <c r="BI8" s="111" t="str">
        <f ca="1">RESULTADOS!AM25</f>
        <v>N/A</v>
      </c>
      <c r="BJ8" s="111" t="str">
        <f ca="1">RESULTADOS!AN25</f>
        <v>N/A</v>
      </c>
      <c r="BK8" s="111" t="str">
        <f ca="1">RESULTADOS!AO25</f>
        <v>Pasa</v>
      </c>
      <c r="BL8" s="111" t="str">
        <f ca="1">RESULTADOS!AP25</f>
        <v>Pasa</v>
      </c>
      <c r="BM8" s="111" t="str">
        <f ca="1">RESULTADOS!AQ25</f>
        <v>Pasa</v>
      </c>
      <c r="BN8" s="111" t="str">
        <f ca="1">RESULTADOS!AR25</f>
        <v>Pasa</v>
      </c>
      <c r="BO8" s="111" t="str">
        <f ca="1">RESULTADOS!AS25</f>
        <v>N/A</v>
      </c>
      <c r="BP8" s="111" t="str">
        <f ca="1">RESULTADOS!AT25</f>
        <v>Pasa</v>
      </c>
      <c r="BQ8" s="111" t="str">
        <f ca="1">RESULTADOS!AU25</f>
        <v>N/A</v>
      </c>
      <c r="BR8" s="111" t="str">
        <f ca="1">RESULTADOS!AV25</f>
        <v>Pasa</v>
      </c>
      <c r="BS8" s="111" t="str">
        <f ca="1">RESULTADOS!AW25</f>
        <v>Pasa</v>
      </c>
      <c r="BT8" s="111" t="str">
        <f ca="1">RESULTADOS!AX25</f>
        <v>N/A</v>
      </c>
      <c r="BU8" s="111" t="str">
        <f ca="1">RESULTADOS!AY25</f>
        <v>Pasa</v>
      </c>
      <c r="BV8" s="111" t="str">
        <f ca="1">RESULTADOS!AZ25</f>
        <v>Falla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Pasa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N/A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ht="13">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Accesibilidad</v>
      </c>
      <c r="V9" s="113" t="str">
        <f t="shared" si="0"/>
        <v>Página web</v>
      </c>
      <c r="W9" s="113" t="str">
        <v>Declaración accesibilidad</v>
      </c>
      <c r="X9" s="113" t="str">
        <f>RESULTADOS!D26</f>
        <v>https://www.comunidad.madrid/tacp/accesibilidad</v>
      </c>
      <c r="Y9" s="113" t="str">
        <v>Footer - Accesibilidad</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Pasa</v>
      </c>
      <c r="BM9" s="111" t="str">
        <f ca="1">RESULTADOS!AQ26</f>
        <v>Pasa</v>
      </c>
      <c r="BN9" s="111" t="str">
        <f ca="1">RESULTADOS!AR26</f>
        <v>Pasa</v>
      </c>
      <c r="BO9" s="111" t="str">
        <f ca="1">RESULTADOS!AS26</f>
        <v>N/A</v>
      </c>
      <c r="BP9" s="111" t="str">
        <f ca="1">RESULTADOS!AT26</f>
        <v>Pasa</v>
      </c>
      <c r="BQ9" s="111" t="str">
        <f ca="1">RESULTADOS!AU26</f>
        <v>N/A</v>
      </c>
      <c r="BR9" s="111" t="str">
        <f ca="1">RESULTADOS!AV26</f>
        <v>Pasa</v>
      </c>
      <c r="BS9" s="111" t="str">
        <f ca="1">RESULTADOS!AW26</f>
        <v>Pasa</v>
      </c>
      <c r="BT9" s="111" t="str">
        <f ca="1">RESULTADOS!AX26</f>
        <v>N/A</v>
      </c>
      <c r="BU9" s="111" t="str">
        <f ca="1">RESULTADOS!AY26</f>
        <v>Pasa</v>
      </c>
      <c r="BV9" s="111" t="str">
        <f ca="1">RESULTADOS!AZ26</f>
        <v>Falla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Pasa</v>
      </c>
      <c r="CH9" s="111" t="str">
        <f ca="1">RESULTADOS!BL26</f>
        <v>Pasa</v>
      </c>
      <c r="CI9" s="111" t="str">
        <f ca="1">RESULTADOS!BM26</f>
        <v>Pasa</v>
      </c>
      <c r="CJ9" s="111" t="str">
        <f ca="1">RESULTADOS!BN26</f>
        <v>Falla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N/A</v>
      </c>
      <c r="CT9" s="111" t="str">
        <f ca="1">RESULTADOS!BX26</f>
        <v>Pasa</v>
      </c>
      <c r="CU9" s="111" t="str">
        <f ca="1">RESULTADOS!BY26</f>
        <v>Pasa</v>
      </c>
      <c r="CV9" s="111" t="str">
        <f ca="1">RESULTADOS!BZ26</f>
        <v>N/A</v>
      </c>
      <c r="CW9" s="111" t="str">
        <f ca="1">RESULTADOS!CA26</f>
        <v>N/A</v>
      </c>
      <c r="CX9" s="111" t="str">
        <f ca="1">RESULTADOS!CB26</f>
        <v>N/A</v>
      </c>
      <c r="CY9" s="111" t="str">
        <f ca="1">RESULTADOS!CC26</f>
        <v>N/A</v>
      </c>
      <c r="CZ9" s="111" t="str">
        <f ca="1">RESULTADOS!CD26</f>
        <v>Pasa</v>
      </c>
      <c r="DA9" s="111" t="str">
        <f ca="1">RESULTADOS!CE26</f>
        <v>Pasa</v>
      </c>
      <c r="DB9" s="111" t="str">
        <f ca="1">RESULTADOS!CF26</f>
        <v>N/A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ht="13">
      <c r="C10" s="109" t="s">
        <v>22</v>
      </c>
      <c r="D10" s="112" t="str">
        <f>'01.Definición de ámbito'!C27</f>
        <v>Tribunal Administrativo de Contratación Pública</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Mapa Web</v>
      </c>
      <c r="V10" s="113" t="str">
        <f t="shared" si="0"/>
        <v>Página web</v>
      </c>
      <c r="W10" s="113" t="str">
        <v>Mapa web</v>
      </c>
      <c r="X10" s="113" t="str">
        <f>RESULTADOS!D27</f>
        <v>https://www.comunidad.madrid/tacp/sitemap</v>
      </c>
      <c r="Y10" s="113" t="str">
        <v>Footer - Mapa Web</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N/A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Pasa</v>
      </c>
      <c r="BL10" s="111" t="str">
        <f ca="1">RESULTADOS!AP27</f>
        <v>Falla</v>
      </c>
      <c r="BM10" s="111" t="str">
        <f ca="1">RESULTADOS!AQ27</f>
        <v>Pasa</v>
      </c>
      <c r="BN10" s="111" t="str">
        <f ca="1">RESULTADOS!AR27</f>
        <v>Pasa</v>
      </c>
      <c r="BO10" s="111" t="str">
        <f ca="1">RESULTADOS!AS27</f>
        <v>N/A</v>
      </c>
      <c r="BP10" s="111" t="str">
        <f ca="1">RESULTADOS!AT27</f>
        <v>Pasa</v>
      </c>
      <c r="BQ10" s="111" t="str">
        <f ca="1">RESULTADOS!AU27</f>
        <v>N/A</v>
      </c>
      <c r="BR10" s="111" t="str">
        <f ca="1">RESULTADOS!AV27</f>
        <v>Falla</v>
      </c>
      <c r="BS10" s="111" t="str">
        <f ca="1">RESULTADOS!AW27</f>
        <v>Pasa</v>
      </c>
      <c r="BT10" s="111" t="str">
        <f ca="1">RESULTADOS!AX27</f>
        <v>N/A</v>
      </c>
      <c r="BU10" s="111" t="str">
        <f ca="1">RESULTADOS!AY27</f>
        <v>Pasa</v>
      </c>
      <c r="BV10" s="111" t="str">
        <f ca="1">RESULTADOS!AZ27</f>
        <v>Falla</v>
      </c>
      <c r="BW10" s="111" t="str">
        <f ca="1">RESULTADOS!BA27</f>
        <v>Pasa</v>
      </c>
      <c r="BX10" s="111" t="str">
        <f ca="1">RESULTADOS!BB27</f>
        <v>Pasa</v>
      </c>
      <c r="BY10" s="111" t="str">
        <f ca="1">RESULTADOS!BC27</f>
        <v>Falla</v>
      </c>
      <c r="BZ10" s="111" t="str">
        <f ca="1">RESULTADOS!BD27</f>
        <v>Falla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N/A</v>
      </c>
      <c r="CT10" s="111" t="str">
        <f ca="1">RESULTADOS!BX27</f>
        <v>Pasa</v>
      </c>
      <c r="CU10" s="111" t="str">
        <f ca="1">RESULTADOS!BY27</f>
        <v>Pasa</v>
      </c>
      <c r="CV10" s="111" t="str">
        <f ca="1">RESULTADOS!BZ27</f>
        <v>N/A</v>
      </c>
      <c r="CW10" s="111" t="str">
        <f ca="1">RESULTADOS!CA27</f>
        <v>N/A</v>
      </c>
      <c r="CX10" s="111" t="str">
        <f ca="1">RESULTADOS!CB27</f>
        <v>N/A</v>
      </c>
      <c r="CY10" s="111" t="str">
        <f ca="1">RESULTADOS!CC27</f>
        <v>N/A</v>
      </c>
      <c r="CZ10" s="111" t="str">
        <f ca="1">RESULTADOS!CD27</f>
        <v>Pasa</v>
      </c>
      <c r="DA10" s="111" t="str">
        <f ca="1">RESULTADOS!CE27</f>
        <v>Pasa</v>
      </c>
      <c r="DB10" s="111" t="str">
        <f ca="1">RESULTADOS!CF27</f>
        <v>N/A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ht="13">
      <c r="C11" s="109" t="s">
        <v>23</v>
      </c>
      <c r="D11" s="112" t="str">
        <f>'01.Definición de ámbito'!C29</f>
        <v>https://www.comunidad.madrid/tacp</v>
      </c>
      <c r="E11" s="109" t="s">
        <v>68</v>
      </c>
      <c r="F11" s="112" t="str">
        <f>'02.Tecnologías'!F13</f>
        <v>No</v>
      </c>
      <c r="G11" s="112">
        <f>'02.Tecnologías'!K21</f>
        <v>0</v>
      </c>
      <c r="H11" s="112">
        <f>'02.Tecnologías'!L21</f>
        <v>0</v>
      </c>
      <c r="I11" s="162"/>
      <c r="J11" s="162"/>
      <c r="K11" s="109" t="s">
        <v>252</v>
      </c>
      <c r="L11" s="109"/>
      <c r="M11" s="109"/>
      <c r="N11" s="109"/>
      <c r="O11" s="109"/>
      <c r="P11" s="109"/>
      <c r="T11" s="113" t="str">
        <f>RESULTADOS!B28</f>
        <v/>
      </c>
      <c r="U11" s="113" t="str">
        <f>RESULTADOS!C28</f>
        <v/>
      </c>
      <c r="V11" s="113" t="str">
        <f t="shared" si="0"/>
        <v/>
      </c>
      <c r="W11" s="113" t="str">
        <v/>
      </c>
      <c r="X11" s="113" t="str">
        <f>RESULTADOS!D28</f>
        <v/>
      </c>
      <c r="Y11" s="113" t="str">
        <v/>
      </c>
      <c r="Z11" s="188" t="str">
        <v/>
      </c>
      <c r="AA11" s="111" t="str">
        <f ca="1">RESULTADOS!E28</f>
        <v/>
      </c>
      <c r="AB11" s="111" t="str">
        <f ca="1">RESULTADOS!F28</f>
        <v/>
      </c>
      <c r="AC11" s="111" t="str">
        <f ca="1">RESULTADOS!G28</f>
        <v/>
      </c>
      <c r="AD11" s="111" t="str">
        <f ca="1">RESULTADOS!H28</f>
        <v/>
      </c>
      <c r="AE11" s="111" t="str">
        <f ca="1">RESULTADOS!I28</f>
        <v/>
      </c>
      <c r="AF11" s="111" t="str">
        <f ca="1">RESULTADOS!J28</f>
        <v/>
      </c>
      <c r="AG11" s="111" t="str">
        <f ca="1">RESULTADOS!K28</f>
        <v/>
      </c>
      <c r="AH11" s="111" t="str">
        <f ca="1">RESULTADOS!L28</f>
        <v/>
      </c>
      <c r="AI11" s="111" t="str">
        <f ca="1">RESULTADOS!M28</f>
        <v/>
      </c>
      <c r="AJ11" s="111" t="str">
        <f ca="1">RESULTADOS!N28</f>
        <v/>
      </c>
      <c r="AK11" s="111" t="str">
        <f ca="1">RESULTADOS!O28</f>
        <v/>
      </c>
      <c r="AL11" s="111" t="str">
        <f ca="1">RESULTADOS!P28</f>
        <v/>
      </c>
      <c r="AM11" s="111" t="str">
        <f ca="1">RESULTADOS!Q28</f>
        <v/>
      </c>
      <c r="AN11" s="111" t="str">
        <f ca="1">RESULTADOS!R28</f>
        <v/>
      </c>
      <c r="AO11" s="111" t="str">
        <f ca="1">RESULTADOS!S28</f>
        <v/>
      </c>
      <c r="AP11" s="111" t="str">
        <f ca="1">RESULTADOS!T28</f>
        <v/>
      </c>
      <c r="AQ11" s="111" t="str">
        <f ca="1">RESULTADOS!U28</f>
        <v/>
      </c>
      <c r="AR11" s="111" t="str">
        <f ca="1">RESULTADOS!V28</f>
        <v/>
      </c>
      <c r="AS11" s="111" t="str">
        <f ca="1">RESULTADOS!W28</f>
        <v/>
      </c>
      <c r="AT11" s="111" t="str">
        <f ca="1">RESULTADOS!X28</f>
        <v/>
      </c>
      <c r="AU11" s="111" t="str">
        <f ca="1">RESULTADOS!Y28</f>
        <v/>
      </c>
      <c r="AV11" s="111" t="str">
        <f ca="1">RESULTADOS!Z28</f>
        <v/>
      </c>
      <c r="AW11" s="111" t="str">
        <f ca="1">RESULTADOS!AA28</f>
        <v/>
      </c>
      <c r="AX11" s="111" t="str">
        <f ca="1">RESULTADOS!AB28</f>
        <v/>
      </c>
      <c r="AY11" s="111" t="str">
        <f ca="1">RESULTADOS!AC28</f>
        <v/>
      </c>
      <c r="AZ11" s="111" t="str">
        <f ca="1">RESULTADOS!AD28</f>
        <v/>
      </c>
      <c r="BA11" s="111" t="str">
        <f ca="1">RESULTADOS!AE28</f>
        <v/>
      </c>
      <c r="BB11" s="111" t="str">
        <f ca="1">RESULTADOS!AF28</f>
        <v/>
      </c>
      <c r="BC11" s="111" t="str">
        <f ca="1">RESULTADOS!AG28</f>
        <v/>
      </c>
      <c r="BD11" s="111" t="str">
        <f ca="1">RESULTADOS!AH28</f>
        <v/>
      </c>
      <c r="BE11" s="111" t="str">
        <f ca="1">RESULTADOS!AI28</f>
        <v/>
      </c>
      <c r="BF11" s="111" t="str">
        <f ca="1">RESULTADOS!AJ28</f>
        <v/>
      </c>
      <c r="BG11" s="111" t="str">
        <f ca="1">RESULTADOS!AK28</f>
        <v/>
      </c>
      <c r="BH11" s="111" t="str">
        <f ca="1">RESULTADOS!AL28</f>
        <v/>
      </c>
      <c r="BI11" s="111" t="str">
        <f ca="1">RESULTADOS!AM28</f>
        <v/>
      </c>
      <c r="BJ11" s="111" t="str">
        <f ca="1">RESULTADOS!AN28</f>
        <v/>
      </c>
      <c r="BK11" s="111" t="str">
        <f ca="1">RESULTADOS!AO28</f>
        <v/>
      </c>
      <c r="BL11" s="111" t="str">
        <f ca="1">RESULTADOS!AP28</f>
        <v/>
      </c>
      <c r="BM11" s="111" t="str">
        <f ca="1">RESULTADOS!AQ28</f>
        <v/>
      </c>
      <c r="BN11" s="111" t="str">
        <f ca="1">RESULTADOS!AR28</f>
        <v/>
      </c>
      <c r="BO11" s="111" t="str">
        <f ca="1">RESULTADOS!AS28</f>
        <v/>
      </c>
      <c r="BP11" s="111" t="str">
        <f ca="1">RESULTADOS!AT28</f>
        <v/>
      </c>
      <c r="BQ11" s="111" t="str">
        <f ca="1">RESULTADOS!AU28</f>
        <v/>
      </c>
      <c r="BR11" s="111" t="str">
        <f ca="1">RESULTADOS!AV28</f>
        <v/>
      </c>
      <c r="BS11" s="111" t="str">
        <f ca="1">RESULTADOS!AW28</f>
        <v/>
      </c>
      <c r="BT11" s="111" t="str">
        <f ca="1">RESULTADOS!AX28</f>
        <v/>
      </c>
      <c r="BU11" s="111" t="str">
        <f ca="1">RESULTADOS!AY28</f>
        <v/>
      </c>
      <c r="BV11" s="111" t="str">
        <f ca="1">RESULTADOS!AZ28</f>
        <v/>
      </c>
      <c r="BW11" s="111" t="str">
        <f ca="1">RESULTADOS!BA28</f>
        <v/>
      </c>
      <c r="BX11" s="111" t="str">
        <f ca="1">RESULTADOS!BB28</f>
        <v/>
      </c>
      <c r="BY11" s="111" t="str">
        <f ca="1">RESULTADOS!BC28</f>
        <v/>
      </c>
      <c r="BZ11" s="111" t="str">
        <f ca="1">RESULTADOS!BD28</f>
        <v/>
      </c>
      <c r="CA11" s="111" t="str">
        <f ca="1">RESULTADOS!BE28</f>
        <v/>
      </c>
      <c r="CB11" s="111" t="str">
        <f ca="1">RESULTADOS!BF28</f>
        <v/>
      </c>
      <c r="CC11" s="111" t="str">
        <f ca="1">RESULTADOS!BG28</f>
        <v/>
      </c>
      <c r="CD11" s="111" t="str">
        <f ca="1">RESULTADOS!BH28</f>
        <v/>
      </c>
      <c r="CE11" s="111" t="str">
        <f ca="1">RESULTADOS!BI28</f>
        <v/>
      </c>
      <c r="CF11" s="111" t="str">
        <f ca="1">RESULTADOS!BJ28</f>
        <v/>
      </c>
      <c r="CG11" s="111" t="str">
        <f ca="1">RESULTADOS!BK28</f>
        <v/>
      </c>
      <c r="CH11" s="111" t="str">
        <f ca="1">RESULTADOS!BL28</f>
        <v/>
      </c>
      <c r="CI11" s="111" t="str">
        <f ca="1">RESULTADOS!BM28</f>
        <v/>
      </c>
      <c r="CJ11" s="111" t="str">
        <f ca="1">RESULTADOS!BN28</f>
        <v/>
      </c>
      <c r="CK11" s="111" t="str">
        <f ca="1">RESULTADOS!BO28</f>
        <v/>
      </c>
      <c r="CL11" s="111" t="str">
        <f ca="1">RESULTADOS!BP28</f>
        <v/>
      </c>
      <c r="CM11" s="111" t="str">
        <f ca="1">RESULTADOS!BQ28</f>
        <v/>
      </c>
      <c r="CN11" s="111" t="str">
        <f ca="1">RESULTADOS!BR28</f>
        <v/>
      </c>
      <c r="CO11" s="111" t="str">
        <f ca="1">RESULTADOS!BS28</f>
        <v/>
      </c>
      <c r="CP11" s="111" t="str">
        <f ca="1">RESULTADOS!BT28</f>
        <v/>
      </c>
      <c r="CQ11" s="111" t="str">
        <f ca="1">RESULTADOS!BU28</f>
        <v/>
      </c>
      <c r="CR11" s="111" t="str">
        <f ca="1">RESULTADOS!BV28</f>
        <v/>
      </c>
      <c r="CS11" s="111" t="str">
        <f ca="1">RESULTADOS!BW28</f>
        <v/>
      </c>
      <c r="CT11" s="111" t="str">
        <f ca="1">RESULTADOS!BX28</f>
        <v/>
      </c>
      <c r="CU11" s="111" t="str">
        <f ca="1">RESULTADOS!BY28</f>
        <v/>
      </c>
      <c r="CV11" s="111" t="str">
        <f ca="1">RESULTADOS!BZ28</f>
        <v/>
      </c>
      <c r="CW11" s="111" t="str">
        <f ca="1">RESULTADOS!CA28</f>
        <v/>
      </c>
      <c r="CX11" s="111" t="str">
        <f ca="1">RESULTADOS!CB28</f>
        <v/>
      </c>
      <c r="CY11" s="111" t="str">
        <f ca="1">RESULTADOS!CC28</f>
        <v/>
      </c>
      <c r="CZ11" s="111" t="str">
        <f ca="1">RESULTADOS!CD28</f>
        <v/>
      </c>
      <c r="DA11" s="111" t="str">
        <f ca="1">RESULTADOS!CE28</f>
        <v/>
      </c>
      <c r="DB11" s="111" t="str">
        <f ca="1">RESULTADOS!CF28</f>
        <v/>
      </c>
      <c r="DC11" s="111" t="str">
        <f ca="1">RESULTADOS!CG28</f>
        <v/>
      </c>
      <c r="DD11" s="111" t="str">
        <f ca="1">RESULTADOS!CH28</f>
        <v/>
      </c>
      <c r="DE11" s="111" t="str">
        <f ca="1">RESULTADOS!CI28</f>
        <v/>
      </c>
      <c r="DF11" s="111" t="str">
        <f ca="1">RESULTADOS!CJ28</f>
        <v/>
      </c>
      <c r="DG11" s="111" t="str">
        <f ca="1">RESULTADOS!CK28</f>
        <v/>
      </c>
      <c r="DH11" s="111" t="str">
        <f ca="1">RESULTADOS!CL28</f>
        <v/>
      </c>
      <c r="DI11" s="111" t="str">
        <f ca="1">RESULTADOS!CM28</f>
        <v/>
      </c>
      <c r="DJ11" s="111" t="str">
        <f ca="1">RESULTADOS!CN28</f>
        <v/>
      </c>
      <c r="DK11" s="111" t="str">
        <f ca="1">RESULTADOS!CO28</f>
        <v/>
      </c>
      <c r="DL11" s="111" t="str">
        <f ca="1">RESULTADOS!CP28</f>
        <v/>
      </c>
      <c r="DM11" s="111" t="str">
        <f ca="1">RESULTADOS!CQ28</f>
        <v/>
      </c>
      <c r="DN11" s="111" t="str">
        <f ca="1">RESULTADOS!CR28</f>
        <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ht="13">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t="str">
        <f>RESULTADOS!B29</f>
        <v/>
      </c>
      <c r="U12" s="113" t="str">
        <f>RESULTADOS!C29</f>
        <v/>
      </c>
      <c r="V12" s="113" t="str">
        <f t="shared" si="0"/>
        <v/>
      </c>
      <c r="W12" s="113" t="str">
        <v/>
      </c>
      <c r="X12" s="113" t="str">
        <f>RESULTADOS!D29</f>
        <v/>
      </c>
      <c r="Y12" s="113" t="str">
        <v/>
      </c>
      <c r="Z12" s="188" t="str">
        <v/>
      </c>
      <c r="AA12" s="111" t="str">
        <f ca="1">RESULTADOS!E29</f>
        <v/>
      </c>
      <c r="AB12" s="111" t="str">
        <f ca="1">RESULTADOS!F29</f>
        <v/>
      </c>
      <c r="AC12" s="111" t="str">
        <f ca="1">RESULTADOS!G29</f>
        <v/>
      </c>
      <c r="AD12" s="111" t="str">
        <f ca="1">RESULTADOS!H29</f>
        <v/>
      </c>
      <c r="AE12" s="111" t="str">
        <f ca="1">RESULTADOS!I29</f>
        <v/>
      </c>
      <c r="AF12" s="111" t="str">
        <f ca="1">RESULTADOS!J29</f>
        <v/>
      </c>
      <c r="AG12" s="111" t="str">
        <f ca="1">RESULTADOS!K29</f>
        <v/>
      </c>
      <c r="AH12" s="111" t="str">
        <f ca="1">RESULTADOS!L29</f>
        <v/>
      </c>
      <c r="AI12" s="111" t="str">
        <f ca="1">RESULTADOS!M29</f>
        <v/>
      </c>
      <c r="AJ12" s="111" t="str">
        <f ca="1">RESULTADOS!N29</f>
        <v/>
      </c>
      <c r="AK12" s="111" t="str">
        <f ca="1">RESULTADOS!O29</f>
        <v/>
      </c>
      <c r="AL12" s="111" t="str">
        <f ca="1">RESULTADOS!P29</f>
        <v/>
      </c>
      <c r="AM12" s="111" t="str">
        <f ca="1">RESULTADOS!Q29</f>
        <v/>
      </c>
      <c r="AN12" s="111" t="str">
        <f ca="1">RESULTADOS!R29</f>
        <v/>
      </c>
      <c r="AO12" s="111" t="str">
        <f ca="1">RESULTADOS!S29</f>
        <v/>
      </c>
      <c r="AP12" s="111" t="str">
        <f ca="1">RESULTADOS!T29</f>
        <v/>
      </c>
      <c r="AQ12" s="111" t="str">
        <f ca="1">RESULTADOS!U29</f>
        <v/>
      </c>
      <c r="AR12" s="111" t="str">
        <f ca="1">RESULTADOS!V29</f>
        <v/>
      </c>
      <c r="AS12" s="111" t="str">
        <f ca="1">RESULTADOS!W29</f>
        <v/>
      </c>
      <c r="AT12" s="111" t="str">
        <f ca="1">RESULTADOS!X29</f>
        <v/>
      </c>
      <c r="AU12" s="111" t="str">
        <f ca="1">RESULTADOS!Y29</f>
        <v/>
      </c>
      <c r="AV12" s="111" t="str">
        <f ca="1">RESULTADOS!Z29</f>
        <v/>
      </c>
      <c r="AW12" s="111" t="str">
        <f ca="1">RESULTADOS!AA29</f>
        <v/>
      </c>
      <c r="AX12" s="111" t="str">
        <f ca="1">RESULTADOS!AB29</f>
        <v/>
      </c>
      <c r="AY12" s="111" t="str">
        <f ca="1">RESULTADOS!AC29</f>
        <v/>
      </c>
      <c r="AZ12" s="111" t="str">
        <f ca="1">RESULTADOS!AD29</f>
        <v/>
      </c>
      <c r="BA12" s="111" t="str">
        <f ca="1">RESULTADOS!AE29</f>
        <v/>
      </c>
      <c r="BB12" s="111" t="str">
        <f ca="1">RESULTADOS!AF29</f>
        <v/>
      </c>
      <c r="BC12" s="111" t="str">
        <f ca="1">RESULTADOS!AG29</f>
        <v/>
      </c>
      <c r="BD12" s="111" t="str">
        <f ca="1">RESULTADOS!AH29</f>
        <v/>
      </c>
      <c r="BE12" s="111" t="str">
        <f ca="1">RESULTADOS!AI29</f>
        <v/>
      </c>
      <c r="BF12" s="111" t="str">
        <f ca="1">RESULTADOS!AJ29</f>
        <v/>
      </c>
      <c r="BG12" s="111" t="str">
        <f ca="1">RESULTADOS!AK29</f>
        <v/>
      </c>
      <c r="BH12" s="111" t="str">
        <f ca="1">RESULTADOS!AL29</f>
        <v/>
      </c>
      <c r="BI12" s="111" t="str">
        <f ca="1">RESULTADOS!AM29</f>
        <v/>
      </c>
      <c r="BJ12" s="111" t="str">
        <f ca="1">RESULTADOS!AN29</f>
        <v/>
      </c>
      <c r="BK12" s="111" t="str">
        <f ca="1">RESULTADOS!AO29</f>
        <v/>
      </c>
      <c r="BL12" s="111" t="str">
        <f ca="1">RESULTADOS!AP29</f>
        <v/>
      </c>
      <c r="BM12" s="111" t="str">
        <f ca="1">RESULTADOS!AQ29</f>
        <v/>
      </c>
      <c r="BN12" s="111" t="str">
        <f ca="1">RESULTADOS!AR29</f>
        <v/>
      </c>
      <c r="BO12" s="111" t="str">
        <f ca="1">RESULTADOS!AS29</f>
        <v/>
      </c>
      <c r="BP12" s="111" t="str">
        <f ca="1">RESULTADOS!AT29</f>
        <v/>
      </c>
      <c r="BQ12" s="111" t="str">
        <f ca="1">RESULTADOS!AU29</f>
        <v/>
      </c>
      <c r="BR12" s="111" t="str">
        <f ca="1">RESULTADOS!AV29</f>
        <v/>
      </c>
      <c r="BS12" s="111" t="str">
        <f ca="1">RESULTADOS!AW29</f>
        <v/>
      </c>
      <c r="BT12" s="111" t="str">
        <f ca="1">RESULTADOS!AX29</f>
        <v/>
      </c>
      <c r="BU12" s="111" t="str">
        <f ca="1">RESULTADOS!AY29</f>
        <v/>
      </c>
      <c r="BV12" s="111" t="str">
        <f ca="1">RESULTADOS!AZ29</f>
        <v/>
      </c>
      <c r="BW12" s="111" t="str">
        <f ca="1">RESULTADOS!BA29</f>
        <v/>
      </c>
      <c r="BX12" s="111" t="str">
        <f ca="1">RESULTADOS!BB29</f>
        <v/>
      </c>
      <c r="BY12" s="111" t="str">
        <f ca="1">RESULTADOS!BC29</f>
        <v/>
      </c>
      <c r="BZ12" s="111" t="str">
        <f ca="1">RESULTADOS!BD29</f>
        <v/>
      </c>
      <c r="CA12" s="111" t="str">
        <f ca="1">RESULTADOS!BE29</f>
        <v/>
      </c>
      <c r="CB12" s="111" t="str">
        <f ca="1">RESULTADOS!BF29</f>
        <v/>
      </c>
      <c r="CC12" s="111" t="str">
        <f ca="1">RESULTADOS!BG29</f>
        <v/>
      </c>
      <c r="CD12" s="111" t="str">
        <f ca="1">RESULTADOS!BH29</f>
        <v/>
      </c>
      <c r="CE12" s="111" t="str">
        <f ca="1">RESULTADOS!BI29</f>
        <v/>
      </c>
      <c r="CF12" s="111" t="str">
        <f ca="1">RESULTADOS!BJ29</f>
        <v/>
      </c>
      <c r="CG12" s="111" t="str">
        <f ca="1">RESULTADOS!BK29</f>
        <v/>
      </c>
      <c r="CH12" s="111" t="str">
        <f ca="1">RESULTADOS!BL29</f>
        <v/>
      </c>
      <c r="CI12" s="111" t="str">
        <f ca="1">RESULTADOS!BM29</f>
        <v/>
      </c>
      <c r="CJ12" s="111" t="str">
        <f ca="1">RESULTADOS!BN29</f>
        <v/>
      </c>
      <c r="CK12" s="111" t="str">
        <f ca="1">RESULTADOS!BO29</f>
        <v/>
      </c>
      <c r="CL12" s="111" t="str">
        <f ca="1">RESULTADOS!BP29</f>
        <v/>
      </c>
      <c r="CM12" s="111" t="str">
        <f ca="1">RESULTADOS!BQ29</f>
        <v/>
      </c>
      <c r="CN12" s="111" t="str">
        <f ca="1">RESULTADOS!BR29</f>
        <v/>
      </c>
      <c r="CO12" s="111" t="str">
        <f ca="1">RESULTADOS!BS29</f>
        <v/>
      </c>
      <c r="CP12" s="111" t="str">
        <f ca="1">RESULTADOS!BT29</f>
        <v/>
      </c>
      <c r="CQ12" s="111" t="str">
        <f ca="1">RESULTADOS!BU29</f>
        <v/>
      </c>
      <c r="CR12" s="111" t="str">
        <f ca="1">RESULTADOS!BV29</f>
        <v/>
      </c>
      <c r="CS12" s="111" t="str">
        <f ca="1">RESULTADOS!BW29</f>
        <v/>
      </c>
      <c r="CT12" s="111" t="str">
        <f ca="1">RESULTADOS!BX29</f>
        <v/>
      </c>
      <c r="CU12" s="111" t="str">
        <f ca="1">RESULTADOS!BY29</f>
        <v/>
      </c>
      <c r="CV12" s="111" t="str">
        <f ca="1">RESULTADOS!BZ29</f>
        <v/>
      </c>
      <c r="CW12" s="111" t="str">
        <f ca="1">RESULTADOS!CA29</f>
        <v/>
      </c>
      <c r="CX12" s="111" t="str">
        <f ca="1">RESULTADOS!CB29</f>
        <v/>
      </c>
      <c r="CY12" s="111" t="str">
        <f ca="1">RESULTADOS!CC29</f>
        <v/>
      </c>
      <c r="CZ12" s="111" t="str">
        <f ca="1">RESULTADOS!CD29</f>
        <v/>
      </c>
      <c r="DA12" s="111" t="str">
        <f ca="1">RESULTADOS!CE29</f>
        <v/>
      </c>
      <c r="DB12" s="111" t="str">
        <f ca="1">RESULTADOS!CF29</f>
        <v/>
      </c>
      <c r="DC12" s="111" t="str">
        <f ca="1">RESULTADOS!CG29</f>
        <v/>
      </c>
      <c r="DD12" s="111" t="str">
        <f ca="1">RESULTADOS!CH29</f>
        <v/>
      </c>
      <c r="DE12" s="111" t="str">
        <f ca="1">RESULTADOS!CI29</f>
        <v/>
      </c>
      <c r="DF12" s="111" t="str">
        <f ca="1">RESULTADOS!CJ29</f>
        <v/>
      </c>
      <c r="DG12" s="111" t="str">
        <f ca="1">RESULTADOS!CK29</f>
        <v/>
      </c>
      <c r="DH12" s="111" t="str">
        <f ca="1">RESULTADOS!CL29</f>
        <v/>
      </c>
      <c r="DI12" s="111" t="str">
        <f ca="1">RESULTADOS!CM29</f>
        <v/>
      </c>
      <c r="DJ12" s="111" t="str">
        <f ca="1">RESULTADOS!CN29</f>
        <v/>
      </c>
      <c r="DK12" s="111" t="str">
        <f ca="1">RESULTADOS!CO29</f>
        <v/>
      </c>
      <c r="DL12" s="111" t="str">
        <f ca="1">RESULTADOS!CP29</f>
        <v/>
      </c>
      <c r="DM12" s="111" t="str">
        <f ca="1">RESULTADOS!CQ29</f>
        <v/>
      </c>
      <c r="DN12" s="111" t="str">
        <f ca="1">RESULTADOS!CR29</f>
        <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ht="13">
      <c r="C13" s="109" t="s">
        <v>25</v>
      </c>
      <c r="D13" s="112" t="str">
        <f>'01.Definición de ámbito'!C33</f>
        <v>PORTAL TRIBUNAL ADMINISTRATIVO DE CONTRATACIÓN PÚBLICA DE LA COMUNIDAD DE MADRID</v>
      </c>
      <c r="E13" s="109" t="s">
        <v>58</v>
      </c>
      <c r="F13" s="112" t="str">
        <f>'02.Tecnologías'!I10</f>
        <v>No</v>
      </c>
      <c r="G13" s="112">
        <f>'02.Tecnologías'!K23</f>
        <v>0</v>
      </c>
      <c r="H13" s="112">
        <f>'02.Tecnologías'!L23</f>
        <v>0</v>
      </c>
      <c r="I13" s="162"/>
      <c r="J13" s="162"/>
      <c r="K13" t="s">
        <v>474</v>
      </c>
      <c r="L13" s="164" t="str">
        <f ca="1">RESULTADOS!E8</f>
        <v>21 (22,83 %)</v>
      </c>
      <c r="M13" s="164" t="str">
        <f ca="1">RESULTADOS!F8</f>
        <v>16 (17,39 %)</v>
      </c>
      <c r="N13" s="164" t="str">
        <f ca="1">RESULTADOS!G8</f>
        <v>55 (59,78 %)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ht="13">
      <c r="C14" s="109" t="s">
        <v>26</v>
      </c>
      <c r="D14" s="112">
        <f>'01.Definición de ámbito'!C35</f>
        <v>45504</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ht="13">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ht="13">
      <c r="C16" s="109" t="s">
        <v>29</v>
      </c>
      <c r="D16" s="112" t="str">
        <f>'01.Definición de ámbito'!C41</f>
        <v>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ht="13">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ht="13">
      <c r="C18" s="109" t="s">
        <v>35</v>
      </c>
      <c r="D18" s="112" t="str">
        <f>'01.Definición de ámbito'!D48</f>
        <v>No</v>
      </c>
      <c r="K18" t="s">
        <v>92</v>
      </c>
      <c r="L18" s="113">
        <f ca="1">RESULTADOS!L8</f>
        <v>202</v>
      </c>
      <c r="M18" s="171">
        <f ca="1">RESULTADOS!M8</f>
        <v>0.27445652173913043</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ht="13">
      <c r="C19" s="109" t="s">
        <v>37</v>
      </c>
      <c r="D19" s="112" t="str">
        <f>'01.Definición de ámbito'!D49</f>
        <v>No</v>
      </c>
      <c r="K19" t="s">
        <v>94</v>
      </c>
      <c r="L19" s="113">
        <f ca="1">RESULTADOS!L9</f>
        <v>72</v>
      </c>
      <c r="M19" s="171">
        <f ca="1">RESULTADOS!M9</f>
        <v>9.7826086956521743E-2</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ht="13">
      <c r="C20" s="109" t="s">
        <v>38</v>
      </c>
      <c r="D20" s="112" t="str">
        <f>'01.Definición de ámbito'!D50</f>
        <v>No</v>
      </c>
      <c r="K20" t="s">
        <v>97</v>
      </c>
      <c r="L20" s="113">
        <f ca="1">RESULTADOS!L10</f>
        <v>462</v>
      </c>
      <c r="M20" s="171">
        <f ca="1">RESULTADOS!M10</f>
        <v>0.62771739130434778</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ht="13">
      <c r="C21" s="109" t="s">
        <v>39</v>
      </c>
      <c r="D21" s="112" t="str">
        <f>'01.Definición de ámbito'!D51</f>
        <v>No</v>
      </c>
      <c r="K21" t="s">
        <v>266</v>
      </c>
      <c r="L21" s="113">
        <f ca="1">RESULTADOS!L11</f>
        <v>736</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ht="13">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ht="13">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ht="13">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ht="13">
      <c r="C25" s="109" t="s">
        <v>43</v>
      </c>
      <c r="D25" s="112" t="str">
        <f>'01.Definición de ámbito'!D55</f>
        <v>Sí</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ht="13">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ht="13">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ht="13">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ht="13">
      <c r="C29" s="109" t="s">
        <v>45</v>
      </c>
      <c r="D29" s="112" t="str">
        <f>'01.Definición de ámbito'!C58</f>
        <v>Autoevaluación con recursos externos</v>
      </c>
      <c r="K29" t="s">
        <v>479</v>
      </c>
      <c r="L29" s="115">
        <f ca="1">RESULTADOS!F14</f>
        <v>5.68</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ht="13">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ht="13">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4" zoomScale="85" zoomScaleNormal="85" workbookViewId="0">
      <selection activeCell="C21" sqref="C21"/>
    </sheetView>
  </sheetViews>
  <sheetFormatPr baseColWidth="10" defaultColWidth="11.453125" defaultRowHeight="12.5"/>
  <cols>
    <col min="1" max="1" width="11.45312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6328125" style="14" customWidth="1"/>
    <col min="27" max="64" width="14.453125" style="14" customWidth="1"/>
    <col min="65" max="16384" width="11.45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2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2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t="s">
        <v>509</v>
      </c>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t="s">
        <v>510</v>
      </c>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t="s">
        <v>511</v>
      </c>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t="s">
        <v>512</v>
      </c>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2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t="s">
        <v>480</v>
      </c>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t="s">
        <v>513</v>
      </c>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t="s">
        <v>514</v>
      </c>
      <c r="D21" s="18"/>
      <c r="E21" s="18"/>
      <c r="F21" s="18"/>
      <c r="G21" s="18"/>
      <c r="H21" s="18"/>
      <c r="I21" s="18"/>
      <c r="J21" s="18"/>
      <c r="K21" s="18"/>
      <c r="L21" s="18"/>
      <c r="M21" s="18"/>
      <c r="N21" s="18"/>
      <c r="O21" s="18"/>
      <c r="P21" s="18"/>
      <c r="Q21" s="18"/>
      <c r="R21" s="18"/>
      <c r="S21" s="18"/>
      <c r="T21" s="18"/>
      <c r="U21" s="18"/>
      <c r="V21" s="18"/>
      <c r="W21" s="18"/>
      <c r="X21" s="18"/>
      <c r="Y21" s="18"/>
      <c r="Z21" s="18"/>
    </row>
    <row r="22" spans="1:26" ht="14"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2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482</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483</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484</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485</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45504</v>
      </c>
      <c r="D35" s="98"/>
      <c r="E35" s="98"/>
      <c r="F35" s="98"/>
      <c r="G35" s="98"/>
      <c r="H35" s="98"/>
      <c r="I35" s="98"/>
      <c r="J35" s="98"/>
      <c r="K35" s="98"/>
      <c r="L35" s="98"/>
      <c r="M35" s="98"/>
    </row>
    <row r="36" spans="2:26" ht="11.5" customHeight="1">
      <c r="B36" s="13"/>
      <c r="C36" s="13"/>
    </row>
    <row r="37" spans="2:26" ht="14"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481</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75" customHeight="1">
      <c r="C48" s="27" t="s">
        <v>35</v>
      </c>
      <c r="D48" s="19" t="s">
        <v>36</v>
      </c>
      <c r="G48" s="62"/>
    </row>
    <row r="49" spans="2:26" ht="14.75" customHeight="1">
      <c r="C49" s="27" t="s">
        <v>37</v>
      </c>
      <c r="D49" s="19" t="s">
        <v>36</v>
      </c>
      <c r="G49" s="62"/>
    </row>
    <row r="50" spans="2:26" ht="14.75" customHeight="1">
      <c r="C50" s="27" t="s">
        <v>38</v>
      </c>
      <c r="D50" s="19" t="s">
        <v>36</v>
      </c>
      <c r="G50" s="62"/>
    </row>
    <row r="51" spans="2:26" ht="14.75" customHeight="1">
      <c r="C51" s="27" t="s">
        <v>39</v>
      </c>
      <c r="D51" s="19" t="s">
        <v>36</v>
      </c>
      <c r="G51" s="62"/>
    </row>
    <row r="52" spans="2:26" ht="14.75" customHeight="1">
      <c r="C52" s="27" t="s">
        <v>40</v>
      </c>
      <c r="D52" s="19" t="s">
        <v>36</v>
      </c>
      <c r="G52" s="62"/>
    </row>
    <row r="53" spans="2:26" ht="14.75" customHeight="1">
      <c r="C53" s="27" t="s">
        <v>41</v>
      </c>
      <c r="D53" s="19" t="s">
        <v>36</v>
      </c>
      <c r="G53" s="62"/>
    </row>
    <row r="54" spans="2:26" ht="14.75" customHeight="1">
      <c r="C54" s="27" t="s">
        <v>42</v>
      </c>
      <c r="D54" s="19" t="s">
        <v>36</v>
      </c>
      <c r="G54" s="62"/>
    </row>
    <row r="55" spans="2:26" ht="14.75" customHeight="1">
      <c r="C55" s="27" t="s">
        <v>43</v>
      </c>
      <c r="D55" s="19" t="s">
        <v>53</v>
      </c>
      <c r="G55" s="62"/>
    </row>
    <row r="56" spans="2:26" ht="14.75"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25"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453125" defaultRowHeight="12.5"/>
  <cols>
    <col min="1" max="1" width="11.453125" style="148"/>
    <col min="2" max="2" width="14" style="148" customWidth="1"/>
    <col min="3" max="3" width="8.6328125" style="148" customWidth="1"/>
    <col min="4" max="4" width="9.453125" style="148" customWidth="1"/>
    <col min="5" max="5" width="14.453125" style="148" customWidth="1"/>
    <col min="6" max="6" width="8.453125" style="148" customWidth="1"/>
    <col min="7" max="7" width="11.453125" style="148"/>
    <col min="8" max="8" width="12" style="148" customWidth="1"/>
    <col min="9" max="9" width="8.6328125" style="148" customWidth="1"/>
    <col min="10" max="10" width="11.453125" style="148"/>
    <col min="11" max="11" width="19.453125" style="148" customWidth="1"/>
    <col min="12" max="12" width="40.6328125" style="148" customWidth="1"/>
    <col min="13" max="16384" width="11.45312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2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2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6" t="s">
        <v>50</v>
      </c>
      <c r="C6" s="216"/>
      <c r="D6" s="216"/>
      <c r="E6" s="216"/>
      <c r="F6" s="216"/>
      <c r="G6" s="216"/>
      <c r="H6" s="216"/>
      <c r="I6" s="216"/>
      <c r="J6" s="216"/>
      <c r="K6" s="216"/>
      <c r="L6" s="216"/>
    </row>
    <row r="7" spans="1:60" ht="33.25" customHeight="1" thickTop="1">
      <c r="B7" s="217" t="s">
        <v>51</v>
      </c>
      <c r="C7" s="217"/>
      <c r="D7" s="217"/>
      <c r="E7" s="217"/>
      <c r="F7" s="217"/>
      <c r="G7" s="217"/>
      <c r="H7" s="217"/>
      <c r="I7" s="217"/>
      <c r="J7" s="217"/>
      <c r="K7" s="217"/>
      <c r="L7" s="217"/>
    </row>
    <row r="8" spans="1:60" ht="21.5" customHeight="1"/>
    <row r="9" spans="1:60" ht="17" customHeight="1">
      <c r="B9" s="156" t="s">
        <v>52</v>
      </c>
      <c r="C9" s="157" t="s">
        <v>53</v>
      </c>
      <c r="E9" s="156" t="s">
        <v>54</v>
      </c>
      <c r="F9" s="157" t="s">
        <v>36</v>
      </c>
      <c r="H9" s="156" t="s">
        <v>55</v>
      </c>
      <c r="I9" s="157" t="s">
        <v>36</v>
      </c>
    </row>
    <row r="10" spans="1:60" ht="17" customHeight="1">
      <c r="B10" s="156" t="s">
        <v>56</v>
      </c>
      <c r="C10" s="157" t="s">
        <v>36</v>
      </c>
      <c r="E10" s="156" t="s">
        <v>57</v>
      </c>
      <c r="F10" s="157" t="s">
        <v>36</v>
      </c>
      <c r="H10" s="156" t="s">
        <v>58</v>
      </c>
      <c r="I10" s="157" t="s">
        <v>36</v>
      </c>
    </row>
    <row r="11" spans="1:60" ht="17" customHeight="1">
      <c r="B11" s="156" t="s">
        <v>59</v>
      </c>
      <c r="C11" s="157" t="s">
        <v>36</v>
      </c>
      <c r="E11" s="156" t="s">
        <v>60</v>
      </c>
      <c r="F11" s="157" t="s">
        <v>36</v>
      </c>
      <c r="H11" s="156" t="s">
        <v>61</v>
      </c>
      <c r="I11" s="157" t="s">
        <v>36</v>
      </c>
    </row>
    <row r="12" spans="1:60" ht="17" customHeight="1">
      <c r="B12" s="156" t="s">
        <v>62</v>
      </c>
      <c r="C12" s="157" t="s">
        <v>53</v>
      </c>
      <c r="E12" s="156" t="s">
        <v>63</v>
      </c>
      <c r="F12" s="157" t="s">
        <v>36</v>
      </c>
      <c r="H12" s="156" t="s">
        <v>64</v>
      </c>
      <c r="I12" s="157" t="s">
        <v>36</v>
      </c>
      <c r="K12" s="158" t="s">
        <v>65</v>
      </c>
      <c r="L12" s="158" t="s">
        <v>66</v>
      </c>
    </row>
    <row r="13" spans="1:60" ht="17" customHeight="1">
      <c r="B13" s="156" t="s">
        <v>67</v>
      </c>
      <c r="C13" s="157" t="s">
        <v>53</v>
      </c>
      <c r="E13" s="156" t="s">
        <v>68</v>
      </c>
      <c r="F13" s="157" t="s">
        <v>36</v>
      </c>
      <c r="K13" s="159"/>
      <c r="L13" s="159"/>
    </row>
    <row r="14" spans="1:60" ht="17" customHeight="1">
      <c r="K14" s="159"/>
      <c r="L14" s="159"/>
    </row>
    <row r="15" spans="1:60" ht="17" customHeight="1">
      <c r="K15" s="159"/>
      <c r="L15" s="159"/>
    </row>
    <row r="16" spans="1:60" ht="17"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8" sqref="F8"/>
    </sheetView>
  </sheetViews>
  <sheetFormatPr baseColWidth="10" defaultColWidth="11.453125" defaultRowHeight="12.5"/>
  <cols>
    <col min="1" max="1" width="11.6328125" style="14" customWidth="1"/>
    <col min="2" max="2" width="9.453125" style="14" customWidth="1"/>
    <col min="3" max="3" width="27.36328125" style="14" customWidth="1"/>
    <col min="4" max="4" width="19.1796875" style="14" customWidth="1"/>
    <col min="5" max="5" width="27.453125" style="14" bestFit="1" customWidth="1"/>
    <col min="6" max="6" width="72.453125" style="14" customWidth="1"/>
    <col min="7" max="7" width="64.6328125" style="14" customWidth="1"/>
    <col min="8" max="8" width="134.453125" style="14" customWidth="1"/>
    <col min="9" max="24" width="8.6328125" style="14" customWidth="1"/>
    <col min="25" max="64" width="14.453125" style="14" customWidth="1"/>
    <col min="65" max="16384" width="11.45312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2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2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75"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25" customHeight="1">
      <c r="B8" s="102">
        <v>1</v>
      </c>
      <c r="C8" s="103" t="s">
        <v>486</v>
      </c>
      <c r="D8" s="53" t="s">
        <v>487</v>
      </c>
      <c r="E8" s="53" t="s">
        <v>425</v>
      </c>
      <c r="F8" s="123" t="s">
        <v>483</v>
      </c>
      <c r="G8" s="53" t="s">
        <v>486</v>
      </c>
      <c r="H8" s="143" t="s">
        <v>78</v>
      </c>
      <c r="I8" s="18"/>
      <c r="J8" s="18"/>
      <c r="K8" s="18"/>
      <c r="L8" s="18"/>
      <c r="M8" s="18"/>
      <c r="N8" s="18"/>
      <c r="O8" s="18"/>
      <c r="P8" s="18"/>
      <c r="Q8" s="18"/>
      <c r="R8" s="18"/>
      <c r="S8" s="18"/>
      <c r="T8" s="18"/>
      <c r="U8" s="18"/>
      <c r="V8" s="18"/>
      <c r="W8" s="18"/>
      <c r="X8" s="18"/>
      <c r="Y8" s="18"/>
    </row>
    <row r="9" spans="1:64" ht="18.25" customHeight="1">
      <c r="B9" s="51">
        <v>2</v>
      </c>
      <c r="C9" s="52" t="s">
        <v>488</v>
      </c>
      <c r="D9" s="53" t="s">
        <v>487</v>
      </c>
      <c r="E9" s="53" t="s">
        <v>429</v>
      </c>
      <c r="F9" s="123" t="s">
        <v>489</v>
      </c>
      <c r="G9" s="53" t="s">
        <v>490</v>
      </c>
      <c r="H9" s="101"/>
      <c r="I9" s="18"/>
      <c r="J9" s="18"/>
      <c r="K9" s="18"/>
      <c r="L9" s="18"/>
      <c r="M9" s="18"/>
      <c r="N9" s="18"/>
      <c r="O9" s="18"/>
      <c r="P9" s="18"/>
      <c r="Q9" s="18"/>
      <c r="R9" s="18"/>
      <c r="S9" s="18"/>
      <c r="T9" s="18"/>
      <c r="U9" s="18"/>
      <c r="V9" s="18"/>
      <c r="W9" s="18"/>
      <c r="X9" s="18"/>
      <c r="Y9" s="18"/>
    </row>
    <row r="10" spans="1:64" ht="18.25" customHeight="1">
      <c r="B10" s="51">
        <v>3</v>
      </c>
      <c r="C10" s="52" t="s">
        <v>491</v>
      </c>
      <c r="D10" s="53" t="s">
        <v>487</v>
      </c>
      <c r="E10" s="53" t="s">
        <v>429</v>
      </c>
      <c r="F10" s="123" t="s">
        <v>492</v>
      </c>
      <c r="G10" s="53" t="s">
        <v>493</v>
      </c>
      <c r="H10" s="101"/>
      <c r="I10" s="18"/>
      <c r="J10" s="18"/>
      <c r="K10" s="18"/>
      <c r="L10" s="18"/>
      <c r="M10" s="18"/>
      <c r="N10" s="18"/>
      <c r="O10" s="18"/>
      <c r="P10" s="18"/>
      <c r="Q10" s="18"/>
      <c r="R10" s="18"/>
      <c r="S10" s="18"/>
      <c r="T10" s="18"/>
      <c r="U10" s="18"/>
      <c r="V10" s="18"/>
      <c r="W10" s="18"/>
      <c r="X10" s="18"/>
      <c r="Y10" s="18"/>
    </row>
    <row r="11" spans="1:64" ht="18.25" customHeight="1">
      <c r="B11" s="51">
        <v>4</v>
      </c>
      <c r="C11" s="52" t="s">
        <v>495</v>
      </c>
      <c r="D11" s="53" t="s">
        <v>487</v>
      </c>
      <c r="E11" s="53" t="s">
        <v>441</v>
      </c>
      <c r="F11" s="123" t="s">
        <v>494</v>
      </c>
      <c r="G11" s="53" t="s">
        <v>496</v>
      </c>
      <c r="H11" s="101" t="s">
        <v>31</v>
      </c>
      <c r="I11" s="18"/>
      <c r="J11" s="18"/>
      <c r="K11" s="18"/>
      <c r="L11" s="18"/>
      <c r="M11" s="18"/>
      <c r="N11" s="18"/>
      <c r="O11" s="18"/>
      <c r="P11" s="18"/>
      <c r="Q11" s="18"/>
      <c r="R11" s="18"/>
      <c r="S11" s="18"/>
      <c r="T11" s="18"/>
      <c r="U11" s="18"/>
      <c r="V11" s="18"/>
      <c r="W11" s="18"/>
      <c r="X11" s="18"/>
      <c r="Y11" s="18"/>
    </row>
    <row r="12" spans="1:64" ht="18.25" customHeight="1">
      <c r="B12" s="51">
        <v>5</v>
      </c>
      <c r="C12" s="52" t="s">
        <v>497</v>
      </c>
      <c r="D12" s="53" t="s">
        <v>487</v>
      </c>
      <c r="E12" s="53" t="s">
        <v>444</v>
      </c>
      <c r="F12" s="123" t="s">
        <v>498</v>
      </c>
      <c r="G12" s="53" t="s">
        <v>499</v>
      </c>
      <c r="H12" s="101"/>
      <c r="I12" s="18"/>
      <c r="J12" s="18"/>
      <c r="K12" s="18"/>
      <c r="L12" s="18"/>
      <c r="M12" s="18"/>
      <c r="N12" s="18"/>
      <c r="O12" s="18"/>
      <c r="P12" s="18"/>
      <c r="Q12" s="18"/>
      <c r="R12" s="18"/>
      <c r="S12" s="18"/>
      <c r="T12" s="18"/>
      <c r="U12" s="18"/>
      <c r="V12" s="18"/>
      <c r="W12" s="18"/>
      <c r="X12" s="18"/>
      <c r="Y12" s="18"/>
    </row>
    <row r="13" spans="1:64" ht="18.25" customHeight="1">
      <c r="B13" s="51">
        <v>6</v>
      </c>
      <c r="C13" s="52" t="s">
        <v>500</v>
      </c>
      <c r="D13" s="53" t="s">
        <v>487</v>
      </c>
      <c r="E13" s="53" t="s">
        <v>439</v>
      </c>
      <c r="F13" s="123" t="s">
        <v>501</v>
      </c>
      <c r="G13" s="53" t="s">
        <v>502</v>
      </c>
      <c r="H13" s="101"/>
      <c r="I13" s="18"/>
      <c r="J13" s="18"/>
      <c r="K13" s="18"/>
      <c r="L13" s="18"/>
      <c r="M13" s="18"/>
      <c r="N13" s="18"/>
      <c r="O13" s="18"/>
      <c r="P13" s="18"/>
      <c r="Q13" s="18"/>
      <c r="R13" s="18"/>
      <c r="S13" s="18"/>
      <c r="T13" s="18"/>
      <c r="V13" s="18"/>
      <c r="W13" s="18"/>
      <c r="X13" s="18"/>
      <c r="Y13" s="18"/>
    </row>
    <row r="14" spans="1:64" ht="18.25" customHeight="1">
      <c r="B14" s="51">
        <v>7</v>
      </c>
      <c r="C14" s="52" t="s">
        <v>504</v>
      </c>
      <c r="D14" s="53" t="s">
        <v>487</v>
      </c>
      <c r="E14" s="53" t="s">
        <v>442</v>
      </c>
      <c r="F14" s="123" t="s">
        <v>503</v>
      </c>
      <c r="G14" s="53" t="s">
        <v>505</v>
      </c>
      <c r="H14" s="101"/>
      <c r="I14" s="18"/>
      <c r="J14" s="18"/>
      <c r="K14" s="18"/>
      <c r="L14" s="18"/>
      <c r="M14" s="18"/>
      <c r="N14" s="18"/>
      <c r="O14" s="18"/>
      <c r="P14" s="18"/>
      <c r="Q14" s="18"/>
      <c r="R14" s="18"/>
      <c r="S14" s="18"/>
      <c r="T14" s="18"/>
      <c r="U14" s="18"/>
      <c r="V14" s="18"/>
      <c r="W14" s="18"/>
      <c r="X14" s="18"/>
      <c r="Y14" s="18"/>
    </row>
    <row r="15" spans="1:64" ht="18.25" customHeight="1">
      <c r="B15" s="51">
        <v>8</v>
      </c>
      <c r="C15" s="52" t="s">
        <v>506</v>
      </c>
      <c r="D15" s="53" t="s">
        <v>487</v>
      </c>
      <c r="E15" s="53" t="s">
        <v>434</v>
      </c>
      <c r="F15" s="123" t="s">
        <v>507</v>
      </c>
      <c r="G15" s="53" t="s">
        <v>508</v>
      </c>
      <c r="H15" s="101"/>
      <c r="I15" s="18"/>
      <c r="J15" s="18"/>
      <c r="K15" s="18"/>
      <c r="L15" s="18"/>
      <c r="M15" s="18"/>
      <c r="N15" s="18"/>
      <c r="O15" s="18"/>
      <c r="P15" s="18"/>
      <c r="Q15" s="18"/>
      <c r="R15" s="18"/>
      <c r="S15" s="18"/>
      <c r="T15" s="18"/>
      <c r="U15" s="18"/>
      <c r="V15" s="18"/>
      <c r="W15" s="18"/>
      <c r="X15" s="18"/>
      <c r="Y15" s="18"/>
    </row>
    <row r="16" spans="1:64" ht="18.25" customHeight="1">
      <c r="B16" s="51">
        <v>9</v>
      </c>
      <c r="C16" s="52"/>
      <c r="D16" s="53"/>
      <c r="E16" s="53"/>
      <c r="F16" s="123"/>
      <c r="G16" s="53"/>
      <c r="H16" s="101"/>
      <c r="I16" s="18"/>
      <c r="J16" s="18"/>
      <c r="K16" s="18"/>
      <c r="L16" s="18"/>
      <c r="M16" s="18"/>
      <c r="N16" s="18"/>
      <c r="O16" s="18"/>
      <c r="P16" s="18"/>
      <c r="Q16" s="18"/>
      <c r="R16" s="18"/>
      <c r="S16" s="18"/>
      <c r="T16" s="18"/>
      <c r="U16" s="18"/>
      <c r="V16" s="18"/>
      <c r="W16" s="18"/>
      <c r="X16" s="18"/>
      <c r="Y16" s="18"/>
    </row>
    <row r="17" spans="2:25" ht="18.25" customHeight="1">
      <c r="B17" s="51">
        <v>10</v>
      </c>
      <c r="C17" s="52"/>
      <c r="D17" s="53"/>
      <c r="E17" s="53"/>
      <c r="F17" s="123"/>
      <c r="G17" s="53"/>
      <c r="H17" s="101"/>
      <c r="I17" s="18"/>
      <c r="J17" s="18"/>
      <c r="K17" s="18"/>
      <c r="L17" s="18"/>
      <c r="M17" s="18"/>
      <c r="N17" s="18"/>
      <c r="O17" s="18"/>
      <c r="P17" s="18"/>
      <c r="Q17" s="18"/>
      <c r="R17" s="18"/>
      <c r="S17" s="18"/>
      <c r="T17" s="18"/>
      <c r="U17" s="18"/>
      <c r="V17" s="18"/>
      <c r="W17" s="18"/>
      <c r="X17" s="18"/>
      <c r="Y17" s="18"/>
    </row>
    <row r="18" spans="2:25" ht="18.25"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25"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25"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25"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79</v>
      </c>
      <c r="C45" s="56"/>
      <c r="D45" s="57">
        <f>COUNTA(F8:F42)</f>
        <v>8</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80</v>
      </c>
      <c r="C47" s="56"/>
      <c r="D47" s="57">
        <f>D45-D49</f>
        <v>6</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2</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97" zoomScale="70" zoomScaleNormal="70" workbookViewId="0">
      <selection activeCell="D95" sqref="D95:D102"/>
    </sheetView>
  </sheetViews>
  <sheetFormatPr baseColWidth="10" defaultColWidth="11.453125" defaultRowHeight="12.5"/>
  <cols>
    <col min="1" max="1" width="6.36328125" style="84" customWidth="1"/>
    <col min="2" max="2" width="16.1796875" style="14" customWidth="1"/>
    <col min="3" max="3" width="64.1796875" style="14" customWidth="1"/>
    <col min="4" max="4" width="18.36328125" style="84" customWidth="1"/>
    <col min="5" max="5" width="6.36328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5.453125" style="14" customWidth="1"/>
    <col min="14" max="14" width="12.36328125" style="14" customWidth="1"/>
    <col min="15"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 customHeight="1">
      <c r="A3" s="22"/>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5" customHeight="1">
      <c r="B7" s="18"/>
      <c r="C7" s="18"/>
      <c r="D7" s="18"/>
      <c r="E7" s="79"/>
      <c r="F7" s="18"/>
      <c r="G7" s="18"/>
      <c r="H7" s="18"/>
      <c r="I7" s="18"/>
      <c r="J7" s="18"/>
      <c r="K7" s="18"/>
      <c r="L7" s="18"/>
      <c r="M7" s="18"/>
      <c r="N7" s="18"/>
      <c r="O7" s="18"/>
    </row>
    <row r="8" spans="1:64" ht="1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24</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24</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https://www.comunidad.madrid/tacp</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Presentación electrónica</v>
      </c>
      <c r="C20" s="174" t="str" cm="1">
        <f t="array" ref="C20">IFERROR(INDEX('03.Muestra'!$F$8:$F$42,SMALL(IF("Página Web"='03.Muestra'!$D$8:$D$42,ROW('03.Muestra'!$F$8:$F$42)-MIN(ROW('03.Muestra'!$D$8:$D$42))+1,""),ROW()-18)),"")</f>
        <v>https://www.comunidad.madrid/tacp/el-tribunal/presentacion-electronica-e-impresos-normalizados</v>
      </c>
      <c r="D20" s="99" t="s">
        <v>104</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Memorias</v>
      </c>
      <c r="C21" s="174" t="str" cm="1">
        <f t="array" ref="C21">IFERROR(INDEX('03.Muestra'!$F$8:$F$42,SMALL(IF("Página Web"='03.Muestra'!$D$8:$D$42,ROW('03.Muestra'!$F$8:$F$42)-MIN(ROW('03.Muestra'!$D$8:$D$42))+1,""),ROW()-18)),"")</f>
        <v>https://www.comunidad.madrid/tacp/memorias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Buscador de resoluciones</v>
      </c>
      <c r="C22" s="174" t="str" cm="1">
        <f t="array" ref="C22">IFERROR(INDEX('03.Muestra'!$F$8:$F$42,SMALL(IF("Página Web"='03.Muestra'!$D$8:$D$42,ROW('03.Muestra'!$F$8:$F$42)-MIN(ROW('03.Muestra'!$D$8:$D$42))+1,""),ROW()-18)),"")</f>
        <v>https://www.comunidad.madrid/tacp/busquedaresoluciones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Novedades</v>
      </c>
      <c r="C23" s="174" t="str" cm="1">
        <f t="array" ref="C23">IFERROR(INDEX('03.Muestra'!$F$8:$F$42,SMALL(IF("Página Web"='03.Muestra'!$D$8:$D$42,ROW('03.Muestra'!$F$8:$F$42)-MIN(ROW('03.Muestra'!$D$8:$D$42))+1,""),ROW()-18)),"")</f>
        <v>https://www.comunidad.madrid/tacp/novedades/publicacion-recursos-especiales-en-perfil-contratante</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Aviso Legal</v>
      </c>
      <c r="C24" s="174" t="str" cm="1">
        <f t="array" ref="C24">IFERROR(INDEX('03.Muestra'!$F$8:$F$42,SMALL(IF("Página Web"='03.Muestra'!$D$8:$D$42,ROW('03.Muestra'!$F$8:$F$42)-MIN(ROW('03.Muestra'!$D$8:$D$42))+1,""),ROW()-18)),"")</f>
        <v>https://www.comunidad.madrid/tacp/aviso-legal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Accesibilidad</v>
      </c>
      <c r="C25" s="174" t="str" cm="1">
        <f t="array" ref="C25">IFERROR(INDEX('03.Muestra'!$F$8:$F$42,SMALL(IF("Página Web"='03.Muestra'!$D$8:$D$42,ROW('03.Muestra'!$F$8:$F$42)-MIN(ROW('03.Muestra'!$D$8:$D$42))+1,""),ROW()-18)),"")</f>
        <v>https://www.comunidad.madrid/tacp/accesibilidad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Mapa Web</v>
      </c>
      <c r="C26" s="174" t="str" cm="1">
        <f t="array" ref="C26">IFERROR(INDEX('03.Muestra'!$F$8:$F$42,SMALL(IF("Página Web"='03.Muestra'!$D$8:$D$42,ROW('03.Muestra'!$F$8:$F$42)-MIN(ROW('03.Muestra'!$D$8:$D$42))+1,""),ROW()-18)),"")</f>
        <v>https://www.comunidad.madrid/tacp/sitemap</v>
      </c>
      <c r="D26" s="99" t="s">
        <v>104</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174" t="str" cm="1">
        <f t="array" ref="B27">IFERROR(INDEX('03.Muestra'!$C$8:$C$42,SMALL(IF("Página Web"='03.Muestra'!$D$8:$D$42,ROW('03.Muestra'!$C$8:$C$42)-MIN(ROW('03.Muestra'!$D$8:$D$42))+1,""),ROW()-18)),"")</f>
        <v/>
      </c>
      <c r="C27" s="174"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174" t="str" cm="1">
        <f t="array" ref="B28">IFERROR(INDEX('03.Muestra'!$C$8:$C$42,SMALL(IF("Página Web"='03.Muestra'!$D$8:$D$42,ROW('03.Muestra'!$C$8:$C$42)-MIN(ROW('03.Muestra'!$D$8:$D$42))+1,""),ROW()-18)),"")</f>
        <v/>
      </c>
      <c r="C28" s="174"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https://www.comunidad.madrid/tacp</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Presentación electrónica</v>
      </c>
      <c r="C58" s="175" t="str" cm="1">
        <f t="array" ref="C58">IFERROR(INDEX('03.Muestra'!$F$8:$F$42,SMALL(IF("Página Web"='03.Muestra'!$D$8:$D$42,ROW('03.Muestra'!$F$8:$F$42)-MIN(ROW('03.Muestra'!$D$8:$D$42))+1,""),ROW()-56)),"")</f>
        <v>https://www.comunidad.madrid/tacp/el-tribunal/presentacion-electronica-e-impresos-normalizados</v>
      </c>
      <c r="D58" s="99" t="s">
        <v>104</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Memorias</v>
      </c>
      <c r="C59" s="175" t="str" cm="1">
        <f t="array" ref="C59">IFERROR(INDEX('03.Muestra'!$F$8:$F$42,SMALL(IF("Página Web"='03.Muestra'!$D$8:$D$42,ROW('03.Muestra'!$F$8:$F$42)-MIN(ROW('03.Muestra'!$D$8:$D$42))+1,""),ROW()-56)),"")</f>
        <v>https://www.comunidad.madrid/tacp/memorias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Buscador de resoluciones</v>
      </c>
      <c r="C60" s="175" t="str" cm="1">
        <f t="array" ref="C60">IFERROR(INDEX('03.Muestra'!$F$8:$F$42,SMALL(IF("Página Web"='03.Muestra'!$D$8:$D$42,ROW('03.Muestra'!$F$8:$F$42)-MIN(ROW('03.Muestra'!$D$8:$D$42))+1,""),ROW()-56)),"")</f>
        <v>https://www.comunidad.madrid/tacp/busquedaresoluciones</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Novedades</v>
      </c>
      <c r="C61" s="175" t="str" cm="1">
        <f t="array" ref="C61">IFERROR(INDEX('03.Muestra'!$F$8:$F$42,SMALL(IF("Página Web"='03.Muestra'!$D$8:$D$42,ROW('03.Muestra'!$F$8:$F$42)-MIN(ROW('03.Muestra'!$D$8:$D$42))+1,""),ROW()-56)),"")</f>
        <v>https://www.comunidad.madrid/tacp/novedades/publicacion-recursos-especiales-en-perfil-contratante</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Aviso Legal</v>
      </c>
      <c r="C62" s="175" t="str" cm="1">
        <f t="array" ref="C62">IFERROR(INDEX('03.Muestra'!$F$8:$F$42,SMALL(IF("Página Web"='03.Muestra'!$D$8:$D$42,ROW('03.Muestra'!$F$8:$F$42)-MIN(ROW('03.Muestra'!$D$8:$D$42))+1,""),ROW()-56)),"")</f>
        <v>https://www.comunidad.madrid/tacp/aviso-legal</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Accesibilidad</v>
      </c>
      <c r="C63" s="175" t="str" cm="1">
        <f t="array" ref="C63">IFERROR(INDEX('03.Muestra'!$F$8:$F$42,SMALL(IF("Página Web"='03.Muestra'!$D$8:$D$42,ROW('03.Muestra'!$F$8:$F$42)-MIN(ROW('03.Muestra'!$D$8:$D$42))+1,""),ROW()-56)),"")</f>
        <v>https://www.comunidad.madrid/tacp/accesibilidad</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Mapa Web</v>
      </c>
      <c r="C64" s="175" t="str" cm="1">
        <f t="array" ref="C64">IFERROR(INDEX('03.Muestra'!$F$8:$F$42,SMALL(IF("Página Web"='03.Muestra'!$D$8:$D$42,ROW('03.Muestra'!$F$8:$F$42)-MIN(ROW('03.Muestra'!$D$8:$D$42))+1,""),ROW()-56)),"")</f>
        <v>https://www.comunidad.madrid/tacp/sitemap</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t="str" cm="1">
        <f t="array" ref="A65">IFERROR(INDEX('03.Muestra'!$B$8:$B$42,SMALL(IF("Página Web"='03.Muestra'!$D$8:$D$42,ROW('03.Muestra'!$B$8:$B$42)-MIN(ROW('03.Muestra'!$D$8:$D$42))+1,""),ROW()-56)),"")</f>
        <v/>
      </c>
      <c r="B65" s="175" t="str" cm="1">
        <f t="array" ref="B65">IFERROR(INDEX('03.Muestra'!$C$8:$C$42,SMALL(IF("Página Web"='03.Muestra'!$D$8:$D$42,ROW('03.Muestra'!$C$8:$C$42)-MIN(ROW('03.Muestra'!$D$8:$D$42))+1,""),ROW()-56)),"")</f>
        <v/>
      </c>
      <c r="C65" s="17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t="str" cm="1">
        <f t="array" ref="A66">IFERROR(INDEX('03.Muestra'!$B$8:$B$42,SMALL(IF("Página Web"='03.Muestra'!$D$8:$D$42,ROW('03.Muestra'!$B$8:$B$42)-MIN(ROW('03.Muestra'!$D$8:$D$42))+1,""),ROW()-56)),"")</f>
        <v/>
      </c>
      <c r="B66" s="175" t="str" cm="1">
        <f t="array" ref="B66">IFERROR(INDEX('03.Muestra'!$C$8:$C$42,SMALL(IF("Página Web"='03.Muestra'!$D$8:$D$42,ROW('03.Muestra'!$C$8:$C$42)-MIN(ROW('03.Muestra'!$D$8:$D$42))+1,""),ROW()-56)),"")</f>
        <v/>
      </c>
      <c r="C66" s="175" t="str" cm="1">
        <f t="array" ref="C66">IFERROR(INDEX('03.Muestra'!$F$8:$F$42,SMALL(IF("Página Web"='03.Muestra'!$D$8:$D$42,ROW('03.Muestra'!$F$8:$F$42)-MIN(ROW('03.Muestra'!$D$8:$D$42))+1,""),ROW()-56)),"")</f>
        <v/>
      </c>
      <c r="D66" s="99" t="str">
        <f t="shared" si="3"/>
        <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si="3"/>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https://www.comunidad.madrid/tacp</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Presentación electrónica</v>
      </c>
      <c r="C96" s="175" t="str" cm="1">
        <f t="array" ref="C96">IFERROR(INDEX('03.Muestra'!$F$8:$F$42,SMALL(IF("Página Web"='03.Muestra'!$D$8:$D$42,ROW('03.Muestra'!$F$8:$F$42)-MIN(ROW('03.Muestra'!$D$8:$D$42))+1,""),ROW()-94)),"")</f>
        <v>https://www.comunidad.madrid/tacp/el-tribunal/presentacion-electronica-e-impresos-normalizados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Memorias</v>
      </c>
      <c r="C97" s="175" t="str" cm="1">
        <f t="array" ref="C97">IFERROR(INDEX('03.Muestra'!$F$8:$F$42,SMALL(IF("Página Web"='03.Muestra'!$D$8:$D$42,ROW('03.Muestra'!$F$8:$F$42)-MIN(ROW('03.Muestra'!$D$8:$D$42))+1,""),ROW()-94)),"")</f>
        <v>https://www.comunidad.madrid/tacp/memorias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Buscador de resoluciones</v>
      </c>
      <c r="C98" s="175" t="str" cm="1">
        <f t="array" ref="C98">IFERROR(INDEX('03.Muestra'!$F$8:$F$42,SMALL(IF("Página Web"='03.Muestra'!$D$8:$D$42,ROW('03.Muestra'!$F$8:$F$42)-MIN(ROW('03.Muestra'!$D$8:$D$42))+1,""),ROW()-94)),"")</f>
        <v>https://www.comunidad.madrid/tacp/busquedaresoluciones</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Novedades</v>
      </c>
      <c r="C99" s="175" t="str" cm="1">
        <f t="array" ref="C99">IFERROR(INDEX('03.Muestra'!$F$8:$F$42,SMALL(IF("Página Web"='03.Muestra'!$D$8:$D$42,ROW('03.Muestra'!$F$8:$F$42)-MIN(ROW('03.Muestra'!$D$8:$D$42))+1,""),ROW()-94)),"")</f>
        <v>https://www.comunidad.madrid/tacp/novedades/publicacion-recursos-especiales-en-perfil-contratante</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Aviso Legal</v>
      </c>
      <c r="C100" s="175" t="str" cm="1">
        <f t="array" ref="C100">IFERROR(INDEX('03.Muestra'!$F$8:$F$42,SMALL(IF("Página Web"='03.Muestra'!$D$8:$D$42,ROW('03.Muestra'!$F$8:$F$42)-MIN(ROW('03.Muestra'!$D$8:$D$42))+1,""),ROW()-94)),"")</f>
        <v>https://www.comunidad.madrid/tacp/aviso-legal</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Accesibilidad</v>
      </c>
      <c r="C101" s="175" t="str" cm="1">
        <f t="array" ref="C101">IFERROR(INDEX('03.Muestra'!$F$8:$F$42,SMALL(IF("Página Web"='03.Muestra'!$D$8:$D$42,ROW('03.Muestra'!$F$8:$F$42)-MIN(ROW('03.Muestra'!$D$8:$D$42))+1,""),ROW()-94)),"")</f>
        <v>https://www.comunidad.madrid/tacp/accesibilidad</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Mapa Web</v>
      </c>
      <c r="C102" s="175" t="str" cm="1">
        <f t="array" ref="C102">IFERROR(INDEX('03.Muestra'!$F$8:$F$42,SMALL(IF("Página Web"='03.Muestra'!$D$8:$D$42,ROW('03.Muestra'!$F$8:$F$42)-MIN(ROW('03.Muestra'!$D$8:$D$42))+1,""),ROW()-94)),"")</f>
        <v>https://www.comunidad.madrid/tacp/sitemap</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t="str" cm="1">
        <f t="array" ref="A103">IFERROR(INDEX('03.Muestra'!$B$8:$B$42,SMALL(IF("Página Web"='03.Muestra'!$D$8:$D$42,ROW('03.Muestra'!$B$8:$B$42)-MIN(ROW('03.Muestra'!$D$8:$D$42))+1,""),ROW()-94)),"")</f>
        <v/>
      </c>
      <c r="B103" s="175" t="str" cm="1">
        <f t="array" ref="B103">IFERROR(INDEX('03.Muestra'!$C$8:$C$42,SMALL(IF("Página Web"='03.Muestra'!$D$8:$D$42,ROW('03.Muestra'!$C$8:$C$42)-MIN(ROW('03.Muestra'!$D$8:$D$42))+1,""),ROW()-94)),"")</f>
        <v/>
      </c>
      <c r="C103" s="17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t="str" cm="1">
        <f t="array" ref="A104">IFERROR(INDEX('03.Muestra'!$B$8:$B$42,SMALL(IF("Página Web"='03.Muestra'!$D$8:$D$42,ROW('03.Muestra'!$B$8:$B$42)-MIN(ROW('03.Muestra'!$D$8:$D$42))+1,""),ROW()-94)),"")</f>
        <v/>
      </c>
      <c r="B104" s="175" t="str" cm="1">
        <f t="array" ref="B104">IFERROR(INDEX('03.Muestra'!$C$8:$C$42,SMALL(IF("Página Web"='03.Muestra'!$D$8:$D$42,ROW('03.Muestra'!$C$8:$C$42)-MIN(ROW('03.Muestra'!$D$8:$D$42))+1,""),ROW()-94)),"")</f>
        <v/>
      </c>
      <c r="C104" s="175" t="str" cm="1">
        <f t="array" ref="C104">IFERROR(INDEX('03.Muestra'!$F$8:$F$42,SMALL(IF("Página Web"='03.Muestra'!$D$8:$D$42,ROW('03.Muestra'!$F$8:$F$42)-MIN(ROW('03.Muestra'!$D$8:$D$42))+1,""),ROW()-94)),"")</f>
        <v/>
      </c>
      <c r="D104" s="99" t="str">
        <f t="shared" si="5"/>
        <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si="5"/>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692" zoomScale="77" zoomScaleNormal="77" workbookViewId="0">
      <selection activeCell="D703" sqref="D703:D710"/>
    </sheetView>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110</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152</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152</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https://www.comunidad.madrid/tacp</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Presentación electrónica</v>
      </c>
      <c r="C20" s="85" t="str" cm="1">
        <f t="array" ref="C20">IFERROR(INDEX('03.Muestra'!$F$8:$F$42,SMALL(IF("Página Web"='03.Muestra'!$D$8:$D$42,ROW('03.Muestra'!$F$8:$F$42)-MIN(ROW('03.Muestra'!$D$8:$D$42))+1,""),ROW()-18)),"")</f>
        <v>https://www.comunidad.madrid/tacp/el-tribunal/presentacion-electronica-e-impresos-normalizados</v>
      </c>
      <c r="D20" s="99" t="s">
        <v>104</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Memorias</v>
      </c>
      <c r="C21" s="85" t="str" cm="1">
        <f t="array" ref="C21">IFERROR(INDEX('03.Muestra'!$F$8:$F$42,SMALL(IF("Página Web"='03.Muestra'!$D$8:$D$42,ROW('03.Muestra'!$F$8:$F$42)-MIN(ROW('03.Muestra'!$D$8:$D$42))+1,""),ROW()-18)),"")</f>
        <v>https://www.comunidad.madrid/tacp/memorias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Buscador de resoluciones</v>
      </c>
      <c r="C22" s="85" t="str" cm="1">
        <f t="array" ref="C22">IFERROR(INDEX('03.Muestra'!$F$8:$F$42,SMALL(IF("Página Web"='03.Muestra'!$D$8:$D$42,ROW('03.Muestra'!$F$8:$F$42)-MIN(ROW('03.Muestra'!$D$8:$D$42))+1,""),ROW()-18)),"")</f>
        <v>https://www.comunidad.madrid/tacp/busquedaresoluciones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Novedades</v>
      </c>
      <c r="C23" s="85" t="str" cm="1">
        <f t="array" ref="C23">IFERROR(INDEX('03.Muestra'!$F$8:$F$42,SMALL(IF("Página Web"='03.Muestra'!$D$8:$D$42,ROW('03.Muestra'!$F$8:$F$42)-MIN(ROW('03.Muestra'!$D$8:$D$42))+1,""),ROW()-18)),"")</f>
        <v>https://www.comunidad.madrid/tacp/novedades/publicacion-recursos-especiales-en-perfil-contratante</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https://www.comunidad.madrid/tacp/aviso-legal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https://www.comunidad.madrid/tacp/accesibilidad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https://www.comunidad.madrid/tacp/sitemap</v>
      </c>
      <c r="D26" s="99" t="s">
        <v>104</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https://www.comunidad.madrid/tacp</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Presentación electrónica</v>
      </c>
      <c r="C58" s="85" t="str" cm="1">
        <f t="array" ref="C58">IFERROR(INDEX('03.Muestra'!$F$8:$F$42,SMALL(IF("Página Web"='03.Muestra'!$D$8:$D$42,ROW('03.Muestra'!$F$8:$F$42)-MIN(ROW('03.Muestra'!$D$8:$D$42))+1,""),ROW()-56)),"")</f>
        <v>https://www.comunidad.madrid/tacp/el-tribunal/presentacion-electronica-e-impresos-normalizados</v>
      </c>
      <c r="D58" s="99" t="s">
        <v>104</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Memorias</v>
      </c>
      <c r="C59" s="85" t="str" cm="1">
        <f t="array" ref="C59">IFERROR(INDEX('03.Muestra'!$F$8:$F$42,SMALL(IF("Página Web"='03.Muestra'!$D$8:$D$42,ROW('03.Muestra'!$F$8:$F$42)-MIN(ROW('03.Muestra'!$D$8:$D$42))+1,""),ROW()-56)),"")</f>
        <v>https://www.comunidad.madrid/tacp/memorias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Buscador de resoluciones</v>
      </c>
      <c r="C60" s="85" t="str" cm="1">
        <f t="array" ref="C60">IFERROR(INDEX('03.Muestra'!$F$8:$F$42,SMALL(IF("Página Web"='03.Muestra'!$D$8:$D$42,ROW('03.Muestra'!$F$8:$F$42)-MIN(ROW('03.Muestra'!$D$8:$D$42))+1,""),ROW()-56)),"")</f>
        <v>https://www.comunidad.madrid/tacp/busquedaresoluciones</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Novedades</v>
      </c>
      <c r="C61" s="85" t="str" cm="1">
        <f t="array" ref="C61">IFERROR(INDEX('03.Muestra'!$F$8:$F$42,SMALL(IF("Página Web"='03.Muestra'!$D$8:$D$42,ROW('03.Muestra'!$F$8:$F$42)-MIN(ROW('03.Muestra'!$D$8:$D$42))+1,""),ROW()-56)),"")</f>
        <v>https://www.comunidad.madrid/tacp/novedades/publicacion-recursos-especiales-en-perfil-contratante</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https://www.comunidad.madrid/tacp/aviso-legal</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https://www.comunidad.madrid/tacp/accesibilidad</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https://www.comunidad.madrid/tacp/sitemap</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https://www.comunidad.madrid/tacp</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Presentación electrónica</v>
      </c>
      <c r="C96" s="85" t="str" cm="1">
        <f t="array" ref="C96">IFERROR(INDEX('03.Muestra'!$F$8:$F$42,SMALL(IF("Página Web"='03.Muestra'!$D$8:$D$42,ROW('03.Muestra'!$F$8:$F$42)-MIN(ROW('03.Muestra'!$D$8:$D$42))+1,""),ROW()-94)),"")</f>
        <v>https://www.comunidad.madrid/tacp/el-tribunal/presentacion-electronica-e-impresos-normalizados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Memorias</v>
      </c>
      <c r="C97" s="85" t="str" cm="1">
        <f t="array" ref="C97">IFERROR(INDEX('03.Muestra'!$F$8:$F$42,SMALL(IF("Página Web"='03.Muestra'!$D$8:$D$42,ROW('03.Muestra'!$F$8:$F$42)-MIN(ROW('03.Muestra'!$D$8:$D$42))+1,""),ROW()-94)),"")</f>
        <v>https://www.comunidad.madrid/tacp/memorias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Buscador de resoluciones</v>
      </c>
      <c r="C98" s="85" t="str" cm="1">
        <f t="array" ref="C98">IFERROR(INDEX('03.Muestra'!$F$8:$F$42,SMALL(IF("Página Web"='03.Muestra'!$D$8:$D$42,ROW('03.Muestra'!$F$8:$F$42)-MIN(ROW('03.Muestra'!$D$8:$D$42))+1,""),ROW()-94)),"")</f>
        <v>https://www.comunidad.madrid/tacp/busquedaresoluciones</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Novedades</v>
      </c>
      <c r="C99" s="85" t="str" cm="1">
        <f t="array" ref="C99">IFERROR(INDEX('03.Muestra'!$F$8:$F$42,SMALL(IF("Página Web"='03.Muestra'!$D$8:$D$42,ROW('03.Muestra'!$F$8:$F$42)-MIN(ROW('03.Muestra'!$D$8:$D$42))+1,""),ROW()-94)),"")</f>
        <v>https://www.comunidad.madrid/tacp/novedades/publicacion-recursos-especiales-en-perfil-contratante</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https://www.comunidad.madrid/tacp/aviso-legal</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https://www.comunidad.madrid/tacp/accesibilidad</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https://www.comunidad.madrid/tacp/sitemap</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https://www.comunidad.madrid/tacp</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Presentación electrónica</v>
      </c>
      <c r="C134" s="85" t="str" cm="1">
        <f t="array" ref="C134">IFERROR(INDEX('03.Muestra'!$F$8:$F$42,SMALL(IF("Página Web"='03.Muestra'!$D$8:$D$42,ROW('03.Muestra'!$F$8:$F$42)-MIN(ROW('03.Muestra'!$D$8:$D$42))+1,""),ROW()-132)),"")</f>
        <v>https://www.comunidad.madrid/tacp/el-tribunal/presentacion-electronica-e-impresos-normalizados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8</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Memorias</v>
      </c>
      <c r="C135" s="85" t="str" cm="1">
        <f t="array" ref="C135">IFERROR(INDEX('03.Muestra'!$F$8:$F$42,SMALL(IF("Página Web"='03.Muestra'!$D$8:$D$42,ROW('03.Muestra'!$F$8:$F$42)-MIN(ROW('03.Muestra'!$D$8:$D$42))+1,""),ROW()-132)),"")</f>
        <v>https://www.comunidad.madrid/tacp/memorias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Buscador de resoluciones</v>
      </c>
      <c r="C136" s="85" t="str" cm="1">
        <f t="array" ref="C136">IFERROR(INDEX('03.Muestra'!$F$8:$F$42,SMALL(IF("Página Web"='03.Muestra'!$D$8:$D$42,ROW('03.Muestra'!$F$8:$F$42)-MIN(ROW('03.Muestra'!$D$8:$D$42))+1,""),ROW()-132)),"")</f>
        <v>https://www.comunidad.madrid/tacp/busquedaresoluciones</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Novedades</v>
      </c>
      <c r="C137" s="85" t="str" cm="1">
        <f t="array" ref="C137">IFERROR(INDEX('03.Muestra'!$F$8:$F$42,SMALL(IF("Página Web"='03.Muestra'!$D$8:$D$42,ROW('03.Muestra'!$F$8:$F$42)-MIN(ROW('03.Muestra'!$D$8:$D$42))+1,""),ROW()-132)),"")</f>
        <v>https://www.comunidad.madrid/tacp/novedades/publicacion-recursos-especiales-en-perfil-contratante</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https://www.comunidad.madrid/tacp/aviso-legal</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https://www.comunidad.madrid/tacp/accesibilidad</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https://www.comunidad.madrid/tacp/sitemap</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https://www.comunidad.madrid/tacp</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Presentación electrónica</v>
      </c>
      <c r="C172" s="85" t="str" cm="1">
        <f t="array" ref="C172">IFERROR(INDEX('03.Muestra'!$F$8:$F$42,SMALL(IF("Página Web"='03.Muestra'!$D$8:$D$42,ROW('03.Muestra'!$F$8:$F$42)-MIN(ROW('03.Muestra'!$D$8:$D$42))+1,""),ROW()-170)),"")</f>
        <v>https://www.comunidad.madrid/tacp/el-tribunal/presentacion-electronica-e-impresos-normalizados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Memorias</v>
      </c>
      <c r="C173" s="85" t="str" cm="1">
        <f t="array" ref="C173">IFERROR(INDEX('03.Muestra'!$F$8:$F$42,SMALL(IF("Página Web"='03.Muestra'!$D$8:$D$42,ROW('03.Muestra'!$F$8:$F$42)-MIN(ROW('03.Muestra'!$D$8:$D$42))+1,""),ROW()-170)),"")</f>
        <v>https://www.comunidad.madrid/tacp/memorias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Buscador de resoluciones</v>
      </c>
      <c r="C174" s="85" t="str" cm="1">
        <f t="array" ref="C174">IFERROR(INDEX('03.Muestra'!$F$8:$F$42,SMALL(IF("Página Web"='03.Muestra'!$D$8:$D$42,ROW('03.Muestra'!$F$8:$F$42)-MIN(ROW('03.Muestra'!$D$8:$D$42))+1,""),ROW()-170)),"")</f>
        <v>https://www.comunidad.madrid/tacp/busquedaresoluciones</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Novedades</v>
      </c>
      <c r="C175" s="85" t="str" cm="1">
        <f t="array" ref="C175">IFERROR(INDEX('03.Muestra'!$F$8:$F$42,SMALL(IF("Página Web"='03.Muestra'!$D$8:$D$42,ROW('03.Muestra'!$F$8:$F$42)-MIN(ROW('03.Muestra'!$D$8:$D$42))+1,""),ROW()-170)),"")</f>
        <v>https://www.comunidad.madrid/tacp/novedades/publicacion-recursos-especiales-en-perfil-contratante</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https://www.comunidad.madrid/tacp/aviso-legal</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https://www.comunidad.madrid/tacp/accesibilidad</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https://www.comunidad.madrid/tacp/sitemap</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https://www.comunidad.madrid/tacp</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Presentación electrónica</v>
      </c>
      <c r="C210" s="85" t="str" cm="1">
        <f t="array" ref="C210">IFERROR(INDEX('03.Muestra'!$F$8:$F$42,SMALL(IF("Página Web"='03.Muestra'!$D$8:$D$42,ROW('03.Muestra'!$F$8:$F$42)-MIN(ROW('03.Muestra'!$D$8:$D$42))+1,""),ROW()-208)),"")</f>
        <v>https://www.comunidad.madrid/tacp/el-tribunal/presentacion-electronica-e-impresos-normalizados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8</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Memorias</v>
      </c>
      <c r="C211" s="85" t="str" cm="1">
        <f t="array" ref="C211">IFERROR(INDEX('03.Muestra'!$F$8:$F$42,SMALL(IF("Página Web"='03.Muestra'!$D$8:$D$42,ROW('03.Muestra'!$F$8:$F$42)-MIN(ROW('03.Muestra'!$D$8:$D$42))+1,""),ROW()-208)),"")</f>
        <v>https://www.comunidad.madrid/tacp/memorias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Buscador de resoluciones</v>
      </c>
      <c r="C212" s="85" t="str" cm="1">
        <f t="array" ref="C212">IFERROR(INDEX('03.Muestra'!$F$8:$F$42,SMALL(IF("Página Web"='03.Muestra'!$D$8:$D$42,ROW('03.Muestra'!$F$8:$F$42)-MIN(ROW('03.Muestra'!$D$8:$D$42))+1,""),ROW()-208)),"")</f>
        <v>https://www.comunidad.madrid/tacp/busquedaresoluciones</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Novedades</v>
      </c>
      <c r="C213" s="85" t="str" cm="1">
        <f t="array" ref="C213">IFERROR(INDEX('03.Muestra'!$F$8:$F$42,SMALL(IF("Página Web"='03.Muestra'!$D$8:$D$42,ROW('03.Muestra'!$F$8:$F$42)-MIN(ROW('03.Muestra'!$D$8:$D$42))+1,""),ROW()-208)),"")</f>
        <v>https://www.comunidad.madrid/tacp/novedades/publicacion-recursos-especiales-en-perfil-contratante</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https://www.comunidad.madrid/tacp/aviso-legal</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https://www.comunidad.madrid/tacp/accesibilidad</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Mapa Web</v>
      </c>
      <c r="C216" s="85" t="str" cm="1">
        <f t="array" ref="C216">IFERROR(INDEX('03.Muestra'!$F$8:$F$42,SMALL(IF("Página Web"='03.Muestra'!$D$8:$D$42,ROW('03.Muestra'!$F$8:$F$42)-MIN(ROW('03.Muestra'!$D$8:$D$42))+1,""),ROW()-208)),"")</f>
        <v>https://www.comunidad.madrid/tacp/sitemap</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ref="D217:D243" si="11">IF(AND(B217&lt;&gt;"",C217&lt;&gt;""),"N/T","")</f>
        <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https://www.comunidad.madrid/tacp</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Presentación electrónica</v>
      </c>
      <c r="C248" s="85" t="str" cm="1">
        <f t="array" ref="C248">IFERROR(INDEX('03.Muestra'!$F$8:$F$42,SMALL(IF("Página Web"='03.Muestra'!$D$8:$D$42,ROW('03.Muestra'!$F$8:$F$42)-MIN(ROW('03.Muestra'!$D$8:$D$42))+1,""),ROW()-246)),"")</f>
        <v>https://www.comunidad.madrid/tacp/el-tribunal/presentacion-electronica-e-impresos-normalizados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8</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Memorias</v>
      </c>
      <c r="C249" s="85" t="str" cm="1">
        <f t="array" ref="C249">IFERROR(INDEX('03.Muestra'!$F$8:$F$42,SMALL(IF("Página Web"='03.Muestra'!$D$8:$D$42,ROW('03.Muestra'!$F$8:$F$42)-MIN(ROW('03.Muestra'!$D$8:$D$42))+1,""),ROW()-246)),"")</f>
        <v>https://www.comunidad.madrid/tacp/memorias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Buscador de resoluciones</v>
      </c>
      <c r="C250" s="85" t="str" cm="1">
        <f t="array" ref="C250">IFERROR(INDEX('03.Muestra'!$F$8:$F$42,SMALL(IF("Página Web"='03.Muestra'!$D$8:$D$42,ROW('03.Muestra'!$F$8:$F$42)-MIN(ROW('03.Muestra'!$D$8:$D$42))+1,""),ROW()-246)),"")</f>
        <v>https://www.comunidad.madrid/tacp/busquedaresoluciones</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Novedades</v>
      </c>
      <c r="C251" s="85" t="str" cm="1">
        <f t="array" ref="C251">IFERROR(INDEX('03.Muestra'!$F$8:$F$42,SMALL(IF("Página Web"='03.Muestra'!$D$8:$D$42,ROW('03.Muestra'!$F$8:$F$42)-MIN(ROW('03.Muestra'!$D$8:$D$42))+1,""),ROW()-246)),"")</f>
        <v>https://www.comunidad.madrid/tacp/novedades/publicacion-recursos-especiales-en-perfil-contratante</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https://www.comunidad.madrid/tacp/aviso-legal</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https://www.comunidad.madrid/tacp/accesibilidad</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Mapa Web</v>
      </c>
      <c r="C254" s="85" t="str" cm="1">
        <f t="array" ref="C254">IFERROR(INDEX('03.Muestra'!$F$8:$F$42,SMALL(IF("Página Web"='03.Muestra'!$D$8:$D$42,ROW('03.Muestra'!$F$8:$F$42)-MIN(ROW('03.Muestra'!$D$8:$D$42))+1,""),ROW()-246)),"")</f>
        <v>https://www.comunidad.madrid/tacp/sitemap</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ref="D255:D281" si="13">IF(AND(B255&lt;&gt;"",C255&lt;&gt;""),"N/T","")</f>
        <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https://www.comunidad.madrid/tacp</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Presentación electrónica</v>
      </c>
      <c r="C286" s="85" t="str" cm="1">
        <f t="array" ref="C286">IFERROR(INDEX('03.Muestra'!$F$8:$F$42,SMALL(IF("Página Web"='03.Muestra'!$D$8:$D$42,ROW('03.Muestra'!$F$8:$F$42)-MIN(ROW('03.Muestra'!$D$8:$D$42))+1,""),ROW()-284)),"")</f>
        <v>https://www.comunidad.madrid/tacp/el-tribunal/presentacion-electronica-e-impresos-normalizados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8</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Memorias</v>
      </c>
      <c r="C287" s="85" t="str" cm="1">
        <f t="array" ref="C287">IFERROR(INDEX('03.Muestra'!$F$8:$F$42,SMALL(IF("Página Web"='03.Muestra'!$D$8:$D$42,ROW('03.Muestra'!$F$8:$F$42)-MIN(ROW('03.Muestra'!$D$8:$D$42))+1,""),ROW()-284)),"")</f>
        <v>https://www.comunidad.madrid/tacp/memorias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Buscador de resoluciones</v>
      </c>
      <c r="C288" s="85" t="str" cm="1">
        <f t="array" ref="C288">IFERROR(INDEX('03.Muestra'!$F$8:$F$42,SMALL(IF("Página Web"='03.Muestra'!$D$8:$D$42,ROW('03.Muestra'!$F$8:$F$42)-MIN(ROW('03.Muestra'!$D$8:$D$42))+1,""),ROW()-284)),"")</f>
        <v>https://www.comunidad.madrid/tacp/busquedaresoluciones</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Novedades</v>
      </c>
      <c r="C289" s="85" t="str" cm="1">
        <f t="array" ref="C289">IFERROR(INDEX('03.Muestra'!$F$8:$F$42,SMALL(IF("Página Web"='03.Muestra'!$D$8:$D$42,ROW('03.Muestra'!$F$8:$F$42)-MIN(ROW('03.Muestra'!$D$8:$D$42))+1,""),ROW()-284)),"")</f>
        <v>https://www.comunidad.madrid/tacp/novedades/publicacion-recursos-especiales-en-perfil-contratante</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https://www.comunidad.madrid/tacp/aviso-legal</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https://www.comunidad.madrid/tacp/accesibilidad</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Mapa Web</v>
      </c>
      <c r="C292" s="85" t="str" cm="1">
        <f t="array" ref="C292">IFERROR(INDEX('03.Muestra'!$F$8:$F$42,SMALL(IF("Página Web"='03.Muestra'!$D$8:$D$42,ROW('03.Muestra'!$F$8:$F$42)-MIN(ROW('03.Muestra'!$D$8:$D$42))+1,""),ROW()-284)),"")</f>
        <v>https://www.comunidad.madrid/tacp/sitemap</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ref="D293:D319" si="15">IF(AND(B293&lt;&gt;"",C293&lt;&gt;""),"N/T","")</f>
        <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https://www.comunidad.madrid/tacp</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Presentación electrónica</v>
      </c>
      <c r="C324" s="85" t="str" cm="1">
        <f t="array" ref="C324">IFERROR(INDEX('03.Muestra'!$F$8:$F$42,SMALL(IF("Página Web"='03.Muestra'!$D$8:$D$42,ROW('03.Muestra'!$F$8:$F$42)-MIN(ROW('03.Muestra'!$D$8:$D$42))+1,""),ROW()-322)),"")</f>
        <v>https://www.comunidad.madrid/tacp/el-tribunal/presentacion-electronica-e-impresos-normalizados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8</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Memorias</v>
      </c>
      <c r="C325" s="85" t="str" cm="1">
        <f t="array" ref="C325">IFERROR(INDEX('03.Muestra'!$F$8:$F$42,SMALL(IF("Página Web"='03.Muestra'!$D$8:$D$42,ROW('03.Muestra'!$F$8:$F$42)-MIN(ROW('03.Muestra'!$D$8:$D$42))+1,""),ROW()-322)),"")</f>
        <v>https://www.comunidad.madrid/tacp/memorias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Buscador de resoluciones</v>
      </c>
      <c r="C326" s="85" t="str" cm="1">
        <f t="array" ref="C326">IFERROR(INDEX('03.Muestra'!$F$8:$F$42,SMALL(IF("Página Web"='03.Muestra'!$D$8:$D$42,ROW('03.Muestra'!$F$8:$F$42)-MIN(ROW('03.Muestra'!$D$8:$D$42))+1,""),ROW()-322)),"")</f>
        <v>https://www.comunidad.madrid/tacp/busquedaresoluciones</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Novedades</v>
      </c>
      <c r="C327" s="85" t="str" cm="1">
        <f t="array" ref="C327">IFERROR(INDEX('03.Muestra'!$F$8:$F$42,SMALL(IF("Página Web"='03.Muestra'!$D$8:$D$42,ROW('03.Muestra'!$F$8:$F$42)-MIN(ROW('03.Muestra'!$D$8:$D$42))+1,""),ROW()-322)),"")</f>
        <v>https://www.comunidad.madrid/tacp/novedades/publicacion-recursos-especiales-en-perfil-contratante</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https://www.comunidad.madrid/tacp/aviso-legal</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https://www.comunidad.madrid/tacp/accesibilidad</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Mapa Web</v>
      </c>
      <c r="C330" s="85" t="str" cm="1">
        <f t="array" ref="C330">IFERROR(INDEX('03.Muestra'!$F$8:$F$42,SMALL(IF("Página Web"='03.Muestra'!$D$8:$D$42,ROW('03.Muestra'!$F$8:$F$42)-MIN(ROW('03.Muestra'!$D$8:$D$42))+1,""),ROW()-322)),"")</f>
        <v>https://www.comunidad.madrid/tacp/sitemap</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ref="D331:D357" si="17">IF(AND(B331&lt;&gt;"",C331&lt;&gt;""),"N/T","")</f>
        <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https://www.comunidad.madrid/tacp</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Presentación electrónica</v>
      </c>
      <c r="C362" s="85" t="str" cm="1">
        <f t="array" ref="C362">IFERROR(INDEX('03.Muestra'!$F$8:$F$42,SMALL(IF("Página Web"='03.Muestra'!$D$8:$D$42,ROW('03.Muestra'!$F$8:$F$42)-MIN(ROW('03.Muestra'!$D$8:$D$42))+1,""),ROW()-360)),"")</f>
        <v>https://www.comunidad.madrid/tacp/el-tribunal/presentacion-electronica-e-impresos-normalizados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8</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Memorias</v>
      </c>
      <c r="C363" s="85" t="str" cm="1">
        <f t="array" ref="C363">IFERROR(INDEX('03.Muestra'!$F$8:$F$42,SMALL(IF("Página Web"='03.Muestra'!$D$8:$D$42,ROW('03.Muestra'!$F$8:$F$42)-MIN(ROW('03.Muestra'!$D$8:$D$42))+1,""),ROW()-360)),"")</f>
        <v>https://www.comunidad.madrid/tacp/memorias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Buscador de resoluciones</v>
      </c>
      <c r="C364" s="85" t="str" cm="1">
        <f t="array" ref="C364">IFERROR(INDEX('03.Muestra'!$F$8:$F$42,SMALL(IF("Página Web"='03.Muestra'!$D$8:$D$42,ROW('03.Muestra'!$F$8:$F$42)-MIN(ROW('03.Muestra'!$D$8:$D$42))+1,""),ROW()-360)),"")</f>
        <v>https://www.comunidad.madrid/tacp/busquedaresoluciones</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Novedades</v>
      </c>
      <c r="C365" s="85" t="str" cm="1">
        <f t="array" ref="C365">IFERROR(INDEX('03.Muestra'!$F$8:$F$42,SMALL(IF("Página Web"='03.Muestra'!$D$8:$D$42,ROW('03.Muestra'!$F$8:$F$42)-MIN(ROW('03.Muestra'!$D$8:$D$42))+1,""),ROW()-360)),"")</f>
        <v>https://www.comunidad.madrid/tacp/novedades/publicacion-recursos-especiales-en-perfil-contratante</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Aviso Legal</v>
      </c>
      <c r="C366" s="85" t="str" cm="1">
        <f t="array" ref="C366">IFERROR(INDEX('03.Muestra'!$F$8:$F$42,SMALL(IF("Página Web"='03.Muestra'!$D$8:$D$42,ROW('03.Muestra'!$F$8:$F$42)-MIN(ROW('03.Muestra'!$D$8:$D$42))+1,""),ROW()-360)),"")</f>
        <v>https://www.comunidad.madrid/tacp/aviso-legal</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Accesibilidad</v>
      </c>
      <c r="C367" s="85" t="str" cm="1">
        <f t="array" ref="C367">IFERROR(INDEX('03.Muestra'!$F$8:$F$42,SMALL(IF("Página Web"='03.Muestra'!$D$8:$D$42,ROW('03.Muestra'!$F$8:$F$42)-MIN(ROW('03.Muestra'!$D$8:$D$42))+1,""),ROW()-360)),"")</f>
        <v>https://www.comunidad.madrid/tacp/accesibilidad</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Mapa Web</v>
      </c>
      <c r="C368" s="85" t="str" cm="1">
        <f t="array" ref="C368">IFERROR(INDEX('03.Muestra'!$F$8:$F$42,SMALL(IF("Página Web"='03.Muestra'!$D$8:$D$42,ROW('03.Muestra'!$F$8:$F$42)-MIN(ROW('03.Muestra'!$D$8:$D$42))+1,""),ROW()-360)),"")</f>
        <v>https://www.comunidad.madrid/tacp/sitemap</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ref="D369:D395" si="19">IF(AND(B369&lt;&gt;"",C369&lt;&gt;""),"N/T","")</f>
        <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https://www.comunidad.madrid/tacp</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Presentación electrónica</v>
      </c>
      <c r="C400" s="85" t="str" cm="1">
        <f t="array" ref="C400">IFERROR(INDEX('03.Muestra'!$F$8:$F$42,SMALL(IF("Página Web"='03.Muestra'!$D$8:$D$42,ROW('03.Muestra'!$F$8:$F$42)-MIN(ROW('03.Muestra'!$D$8:$D$42))+1,""),ROW()-398)),"")</f>
        <v>https://www.comunidad.madrid/tacp/el-tribunal/presentacion-electronica-e-impresos-normalizados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8</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Memorias</v>
      </c>
      <c r="C401" s="85" t="str" cm="1">
        <f t="array" ref="C401">IFERROR(INDEX('03.Muestra'!$F$8:$F$42,SMALL(IF("Página Web"='03.Muestra'!$D$8:$D$42,ROW('03.Muestra'!$F$8:$F$42)-MIN(ROW('03.Muestra'!$D$8:$D$42))+1,""),ROW()-398)),"")</f>
        <v>https://www.comunidad.madrid/tacp/memorias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Buscador de resoluciones</v>
      </c>
      <c r="C402" s="85" t="str" cm="1">
        <f t="array" ref="C402">IFERROR(INDEX('03.Muestra'!$F$8:$F$42,SMALL(IF("Página Web"='03.Muestra'!$D$8:$D$42,ROW('03.Muestra'!$F$8:$F$42)-MIN(ROW('03.Muestra'!$D$8:$D$42))+1,""),ROW()-398)),"")</f>
        <v>https://www.comunidad.madrid/tacp/busquedaresoluciones</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Novedades</v>
      </c>
      <c r="C403" s="85" t="str" cm="1">
        <f t="array" ref="C403">IFERROR(INDEX('03.Muestra'!$F$8:$F$42,SMALL(IF("Página Web"='03.Muestra'!$D$8:$D$42,ROW('03.Muestra'!$F$8:$F$42)-MIN(ROW('03.Muestra'!$D$8:$D$42))+1,""),ROW()-398)),"")</f>
        <v>https://www.comunidad.madrid/tacp/novedades/publicacion-recursos-especiales-en-perfil-contratante</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Aviso Legal</v>
      </c>
      <c r="C404" s="85" t="str" cm="1">
        <f t="array" ref="C404">IFERROR(INDEX('03.Muestra'!$F$8:$F$42,SMALL(IF("Página Web"='03.Muestra'!$D$8:$D$42,ROW('03.Muestra'!$F$8:$F$42)-MIN(ROW('03.Muestra'!$D$8:$D$42))+1,""),ROW()-398)),"")</f>
        <v>https://www.comunidad.madrid/tacp/aviso-legal</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Accesibilidad</v>
      </c>
      <c r="C405" s="85" t="str" cm="1">
        <f t="array" ref="C405">IFERROR(INDEX('03.Muestra'!$F$8:$F$42,SMALL(IF("Página Web"='03.Muestra'!$D$8:$D$42,ROW('03.Muestra'!$F$8:$F$42)-MIN(ROW('03.Muestra'!$D$8:$D$42))+1,""),ROW()-398)),"")</f>
        <v>https://www.comunidad.madrid/tacp/accesibilidad</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Mapa Web</v>
      </c>
      <c r="C406" s="85" t="str" cm="1">
        <f t="array" ref="C406">IFERROR(INDEX('03.Muestra'!$F$8:$F$42,SMALL(IF("Página Web"='03.Muestra'!$D$8:$D$42,ROW('03.Muestra'!$F$8:$F$42)-MIN(ROW('03.Muestra'!$D$8:$D$42))+1,""),ROW()-398)),"")</f>
        <v>https://www.comunidad.madrid/tacp/sitemap</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ref="D407:D433" si="21">IF(AND(B407&lt;&gt;"",C407&lt;&gt;""),"N/T","")</f>
        <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https://www.comunidad.madrid/tacp</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Presentación electrónica</v>
      </c>
      <c r="C438" s="85" t="str" cm="1">
        <f t="array" ref="C438">IFERROR(INDEX('03.Muestra'!$F$8:$F$42,SMALL(IF("Página Web"='03.Muestra'!$D$8:$D$42,ROW('03.Muestra'!$F$8:$F$42)-MIN(ROW('03.Muestra'!$D$8:$D$42))+1,""),ROW()-436)),"")</f>
        <v>https://www.comunidad.madrid/tacp/el-tribunal/presentacion-electronica-e-impresos-normalizados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8</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Memorias</v>
      </c>
      <c r="C439" s="85" t="str" cm="1">
        <f t="array" ref="C439">IFERROR(INDEX('03.Muestra'!$F$8:$F$42,SMALL(IF("Página Web"='03.Muestra'!$D$8:$D$42,ROW('03.Muestra'!$F$8:$F$42)-MIN(ROW('03.Muestra'!$D$8:$D$42))+1,""),ROW()-436)),"")</f>
        <v>https://www.comunidad.madrid/tacp/memorias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Buscador de resoluciones</v>
      </c>
      <c r="C440" s="85" t="str" cm="1">
        <f t="array" ref="C440">IFERROR(INDEX('03.Muestra'!$F$8:$F$42,SMALL(IF("Página Web"='03.Muestra'!$D$8:$D$42,ROW('03.Muestra'!$F$8:$F$42)-MIN(ROW('03.Muestra'!$D$8:$D$42))+1,""),ROW()-436)),"")</f>
        <v>https://www.comunidad.madrid/tacp/busquedaresoluciones</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Novedades</v>
      </c>
      <c r="C441" s="85" t="str" cm="1">
        <f t="array" ref="C441">IFERROR(INDEX('03.Muestra'!$F$8:$F$42,SMALL(IF("Página Web"='03.Muestra'!$D$8:$D$42,ROW('03.Muestra'!$F$8:$F$42)-MIN(ROW('03.Muestra'!$D$8:$D$42))+1,""),ROW()-436)),"")</f>
        <v>https://www.comunidad.madrid/tacp/novedades/publicacion-recursos-especiales-en-perfil-contratante</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Aviso Legal</v>
      </c>
      <c r="C442" s="85" t="str" cm="1">
        <f t="array" ref="C442">IFERROR(INDEX('03.Muestra'!$F$8:$F$42,SMALL(IF("Página Web"='03.Muestra'!$D$8:$D$42,ROW('03.Muestra'!$F$8:$F$42)-MIN(ROW('03.Muestra'!$D$8:$D$42))+1,""),ROW()-436)),"")</f>
        <v>https://www.comunidad.madrid/tacp/aviso-legal</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Accesibilidad</v>
      </c>
      <c r="C443" s="85" t="str" cm="1">
        <f t="array" ref="C443">IFERROR(INDEX('03.Muestra'!$F$8:$F$42,SMALL(IF("Página Web"='03.Muestra'!$D$8:$D$42,ROW('03.Muestra'!$F$8:$F$42)-MIN(ROW('03.Muestra'!$D$8:$D$42))+1,""),ROW()-436)),"")</f>
        <v>https://www.comunidad.madrid/tacp/accesibilidad</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Mapa Web</v>
      </c>
      <c r="C444" s="85" t="str" cm="1">
        <f t="array" ref="C444">IFERROR(INDEX('03.Muestra'!$F$8:$F$42,SMALL(IF("Página Web"='03.Muestra'!$D$8:$D$42,ROW('03.Muestra'!$F$8:$F$42)-MIN(ROW('03.Muestra'!$D$8:$D$42))+1,""),ROW()-436)),"")</f>
        <v>https://www.comunidad.madrid/tacp/sitemap</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ref="D445:D471" si="23">IF(AND(B445&lt;&gt;"",C445&lt;&gt;""),"N/T","")</f>
        <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https://www.comunidad.madrid/tacp</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Presentación electrónica</v>
      </c>
      <c r="C476" s="85" t="str" cm="1">
        <f t="array" ref="C476">IFERROR(INDEX('03.Muestra'!$F$8:$F$42,SMALL(IF("Página Web"='03.Muestra'!$D$8:$D$42,ROW('03.Muestra'!$F$8:$F$42)-MIN(ROW('03.Muestra'!$D$8:$D$42))+1,""),ROW()-474)),"")</f>
        <v>https://www.comunidad.madrid/tacp/el-tribunal/presentacion-electronica-e-impresos-normalizados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8</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Memorias</v>
      </c>
      <c r="C477" s="85" t="str" cm="1">
        <f t="array" ref="C477">IFERROR(INDEX('03.Muestra'!$F$8:$F$42,SMALL(IF("Página Web"='03.Muestra'!$D$8:$D$42,ROW('03.Muestra'!$F$8:$F$42)-MIN(ROW('03.Muestra'!$D$8:$D$42))+1,""),ROW()-474)),"")</f>
        <v>https://www.comunidad.madrid/tacp/memorias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Buscador de resoluciones</v>
      </c>
      <c r="C478" s="85" t="str" cm="1">
        <f t="array" ref="C478">IFERROR(INDEX('03.Muestra'!$F$8:$F$42,SMALL(IF("Página Web"='03.Muestra'!$D$8:$D$42,ROW('03.Muestra'!$F$8:$F$42)-MIN(ROW('03.Muestra'!$D$8:$D$42))+1,""),ROW()-474)),"")</f>
        <v>https://www.comunidad.madrid/tacp/busquedaresoluciones</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Novedades</v>
      </c>
      <c r="C479" s="85" t="str" cm="1">
        <f t="array" ref="C479">IFERROR(INDEX('03.Muestra'!$F$8:$F$42,SMALL(IF("Página Web"='03.Muestra'!$D$8:$D$42,ROW('03.Muestra'!$F$8:$F$42)-MIN(ROW('03.Muestra'!$D$8:$D$42))+1,""),ROW()-474)),"")</f>
        <v>https://www.comunidad.madrid/tacp/novedades/publicacion-recursos-especiales-en-perfil-contratante</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Aviso Legal</v>
      </c>
      <c r="C480" s="85" t="str" cm="1">
        <f t="array" ref="C480">IFERROR(INDEX('03.Muestra'!$F$8:$F$42,SMALL(IF("Página Web"='03.Muestra'!$D$8:$D$42,ROW('03.Muestra'!$F$8:$F$42)-MIN(ROW('03.Muestra'!$D$8:$D$42))+1,""),ROW()-474)),"")</f>
        <v>https://www.comunidad.madrid/tacp/aviso-legal</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Accesibilidad</v>
      </c>
      <c r="C481" s="85" t="str" cm="1">
        <f t="array" ref="C481">IFERROR(INDEX('03.Muestra'!$F$8:$F$42,SMALL(IF("Página Web"='03.Muestra'!$D$8:$D$42,ROW('03.Muestra'!$F$8:$F$42)-MIN(ROW('03.Muestra'!$D$8:$D$42))+1,""),ROW()-474)),"")</f>
        <v>https://www.comunidad.madrid/tacp/accesibilidad</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Mapa Web</v>
      </c>
      <c r="C482" s="85" t="str" cm="1">
        <f t="array" ref="C482">IFERROR(INDEX('03.Muestra'!$F$8:$F$42,SMALL(IF("Página Web"='03.Muestra'!$D$8:$D$42,ROW('03.Muestra'!$F$8:$F$42)-MIN(ROW('03.Muestra'!$D$8:$D$42))+1,""),ROW()-474)),"")</f>
        <v>https://www.comunidad.madrid/tacp/sitemap</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ref="D483:D509" si="25">IF(AND(B483&lt;&gt;"",C483&lt;&gt;""),"N/T","")</f>
        <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https://www.comunidad.madrid/tacp</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Presentación electrónica</v>
      </c>
      <c r="C514" s="85" t="str" cm="1">
        <f t="array" ref="C514">IFERROR(INDEX('03.Muestra'!$F$8:$F$42,SMALL(IF("Página Web"='03.Muestra'!$D$8:$D$42,ROW('03.Muestra'!$F$8:$F$42)-MIN(ROW('03.Muestra'!$D$8:$D$42))+1,""),ROW()-512)),"")</f>
        <v>https://www.comunidad.madrid/tacp/el-tribunal/presentacion-electronica-e-impresos-normalizados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8</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Memorias</v>
      </c>
      <c r="C515" s="85" t="str" cm="1">
        <f t="array" ref="C515">IFERROR(INDEX('03.Muestra'!$F$8:$F$42,SMALL(IF("Página Web"='03.Muestra'!$D$8:$D$42,ROW('03.Muestra'!$F$8:$F$42)-MIN(ROW('03.Muestra'!$D$8:$D$42))+1,""),ROW()-512)),"")</f>
        <v>https://www.comunidad.madrid/tacp/memorias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Buscador de resoluciones</v>
      </c>
      <c r="C516" s="85" t="str" cm="1">
        <f t="array" ref="C516">IFERROR(INDEX('03.Muestra'!$F$8:$F$42,SMALL(IF("Página Web"='03.Muestra'!$D$8:$D$42,ROW('03.Muestra'!$F$8:$F$42)-MIN(ROW('03.Muestra'!$D$8:$D$42))+1,""),ROW()-512)),"")</f>
        <v>https://www.comunidad.madrid/tacp/busquedaresoluciones</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Novedades</v>
      </c>
      <c r="C517" s="85" t="str" cm="1">
        <f t="array" ref="C517">IFERROR(INDEX('03.Muestra'!$F$8:$F$42,SMALL(IF("Página Web"='03.Muestra'!$D$8:$D$42,ROW('03.Muestra'!$F$8:$F$42)-MIN(ROW('03.Muestra'!$D$8:$D$42))+1,""),ROW()-512)),"")</f>
        <v>https://www.comunidad.madrid/tacp/novedades/publicacion-recursos-especiales-en-perfil-contratante</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Aviso Legal</v>
      </c>
      <c r="C518" s="85" t="str" cm="1">
        <f t="array" ref="C518">IFERROR(INDEX('03.Muestra'!$F$8:$F$42,SMALL(IF("Página Web"='03.Muestra'!$D$8:$D$42,ROW('03.Muestra'!$F$8:$F$42)-MIN(ROW('03.Muestra'!$D$8:$D$42))+1,""),ROW()-512)),"")</f>
        <v>https://www.comunidad.madrid/tacp/aviso-legal</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Accesibilidad</v>
      </c>
      <c r="C519" s="85" t="str" cm="1">
        <f t="array" ref="C519">IFERROR(INDEX('03.Muestra'!$F$8:$F$42,SMALL(IF("Página Web"='03.Muestra'!$D$8:$D$42,ROW('03.Muestra'!$F$8:$F$42)-MIN(ROW('03.Muestra'!$D$8:$D$42))+1,""),ROW()-512)),"")</f>
        <v>https://www.comunidad.madrid/tacp/accesibilidad</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Mapa Web</v>
      </c>
      <c r="C520" s="85" t="str" cm="1">
        <f t="array" ref="C520">IFERROR(INDEX('03.Muestra'!$F$8:$F$42,SMALL(IF("Página Web"='03.Muestra'!$D$8:$D$42,ROW('03.Muestra'!$F$8:$F$42)-MIN(ROW('03.Muestra'!$D$8:$D$42))+1,""),ROW()-512)),"")</f>
        <v>https://www.comunidad.madrid/tacp/sitemap</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ref="D521:D547" si="27">IF(AND(B521&lt;&gt;"",C521&lt;&gt;""),"N/T","")</f>
        <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https://www.comunidad.madrid/tacp</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Presentación electrónica</v>
      </c>
      <c r="C552" s="85" t="str" cm="1">
        <f t="array" ref="C552">IFERROR(INDEX('03.Muestra'!$F$8:$F$42,SMALL(IF("Página Web"='03.Muestra'!$D$8:$D$42,ROW('03.Muestra'!$F$8:$F$42)-MIN(ROW('03.Muestra'!$D$8:$D$42))+1,""),ROW()-550)),"")</f>
        <v>https://www.comunidad.madrid/tacp/el-tribunal/presentacion-electronica-e-impresos-normalizados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8</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Memorias</v>
      </c>
      <c r="C553" s="85" t="str" cm="1">
        <f t="array" ref="C553">IFERROR(INDEX('03.Muestra'!$F$8:$F$42,SMALL(IF("Página Web"='03.Muestra'!$D$8:$D$42,ROW('03.Muestra'!$F$8:$F$42)-MIN(ROW('03.Muestra'!$D$8:$D$42))+1,""),ROW()-550)),"")</f>
        <v>https://www.comunidad.madrid/tacp/memorias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Buscador de resoluciones</v>
      </c>
      <c r="C554" s="85" t="str" cm="1">
        <f t="array" ref="C554">IFERROR(INDEX('03.Muestra'!$F$8:$F$42,SMALL(IF("Página Web"='03.Muestra'!$D$8:$D$42,ROW('03.Muestra'!$F$8:$F$42)-MIN(ROW('03.Muestra'!$D$8:$D$42))+1,""),ROW()-550)),"")</f>
        <v>https://www.comunidad.madrid/tacp/busquedaresoluciones</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Novedades</v>
      </c>
      <c r="C555" s="85" t="str" cm="1">
        <f t="array" ref="C555">IFERROR(INDEX('03.Muestra'!$F$8:$F$42,SMALL(IF("Página Web"='03.Muestra'!$D$8:$D$42,ROW('03.Muestra'!$F$8:$F$42)-MIN(ROW('03.Muestra'!$D$8:$D$42))+1,""),ROW()-550)),"")</f>
        <v>https://www.comunidad.madrid/tacp/novedades/publicacion-recursos-especiales-en-perfil-contratante</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Aviso Legal</v>
      </c>
      <c r="C556" s="85" t="str" cm="1">
        <f t="array" ref="C556">IFERROR(INDEX('03.Muestra'!$F$8:$F$42,SMALL(IF("Página Web"='03.Muestra'!$D$8:$D$42,ROW('03.Muestra'!$F$8:$F$42)-MIN(ROW('03.Muestra'!$D$8:$D$42))+1,""),ROW()-550)),"")</f>
        <v>https://www.comunidad.madrid/tacp/aviso-legal</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Accesibilidad</v>
      </c>
      <c r="C557" s="85" t="str" cm="1">
        <f t="array" ref="C557">IFERROR(INDEX('03.Muestra'!$F$8:$F$42,SMALL(IF("Página Web"='03.Muestra'!$D$8:$D$42,ROW('03.Muestra'!$F$8:$F$42)-MIN(ROW('03.Muestra'!$D$8:$D$42))+1,""),ROW()-550)),"")</f>
        <v>https://www.comunidad.madrid/tacp/accesibilidad</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Mapa Web</v>
      </c>
      <c r="C558" s="85" t="str" cm="1">
        <f t="array" ref="C558">IFERROR(INDEX('03.Muestra'!$F$8:$F$42,SMALL(IF("Página Web"='03.Muestra'!$D$8:$D$42,ROW('03.Muestra'!$F$8:$F$42)-MIN(ROW('03.Muestra'!$D$8:$D$42))+1,""),ROW()-550)),"")</f>
        <v>https://www.comunidad.madrid/tacp/sitemap</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ref="D559:D585" si="29">IF(AND(B559&lt;&gt;"",C559&lt;&gt;""),"N/T","")</f>
        <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https://www.comunidad.madrid/tacp</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Presentación electrónica</v>
      </c>
      <c r="C590" s="85" t="str" cm="1">
        <f t="array" ref="C590">IFERROR(INDEX('03.Muestra'!$F$8:$F$42,SMALL(IF("Página Web"='03.Muestra'!$D$8:$D$42,ROW('03.Muestra'!$F$8:$F$42)-MIN(ROW('03.Muestra'!$D$8:$D$42))+1,""),ROW()-588)),"")</f>
        <v>https://www.comunidad.madrid/tacp/el-tribunal/presentacion-electronica-e-impresos-normalizados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8</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Memorias</v>
      </c>
      <c r="C591" s="85" t="str" cm="1">
        <f t="array" ref="C591">IFERROR(INDEX('03.Muestra'!$F$8:$F$42,SMALL(IF("Página Web"='03.Muestra'!$D$8:$D$42,ROW('03.Muestra'!$F$8:$F$42)-MIN(ROW('03.Muestra'!$D$8:$D$42))+1,""),ROW()-588)),"")</f>
        <v>https://www.comunidad.madrid/tacp/memorias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Buscador de resoluciones</v>
      </c>
      <c r="C592" s="85" t="str" cm="1">
        <f t="array" ref="C592">IFERROR(INDEX('03.Muestra'!$F$8:$F$42,SMALL(IF("Página Web"='03.Muestra'!$D$8:$D$42,ROW('03.Muestra'!$F$8:$F$42)-MIN(ROW('03.Muestra'!$D$8:$D$42))+1,""),ROW()-588)),"")</f>
        <v>https://www.comunidad.madrid/tacp/busquedaresoluciones</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Novedades</v>
      </c>
      <c r="C593" s="85" t="str" cm="1">
        <f t="array" ref="C593">IFERROR(INDEX('03.Muestra'!$F$8:$F$42,SMALL(IF("Página Web"='03.Muestra'!$D$8:$D$42,ROW('03.Muestra'!$F$8:$F$42)-MIN(ROW('03.Muestra'!$D$8:$D$42))+1,""),ROW()-588)),"")</f>
        <v>https://www.comunidad.madrid/tacp/novedades/publicacion-recursos-especiales-en-perfil-contratante</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Aviso Legal</v>
      </c>
      <c r="C594" s="85" t="str" cm="1">
        <f t="array" ref="C594">IFERROR(INDEX('03.Muestra'!$F$8:$F$42,SMALL(IF("Página Web"='03.Muestra'!$D$8:$D$42,ROW('03.Muestra'!$F$8:$F$42)-MIN(ROW('03.Muestra'!$D$8:$D$42))+1,""),ROW()-588)),"")</f>
        <v>https://www.comunidad.madrid/tacp/aviso-legal</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Accesibilidad</v>
      </c>
      <c r="C595" s="85" t="str" cm="1">
        <f t="array" ref="C595">IFERROR(INDEX('03.Muestra'!$F$8:$F$42,SMALL(IF("Página Web"='03.Muestra'!$D$8:$D$42,ROW('03.Muestra'!$F$8:$F$42)-MIN(ROW('03.Muestra'!$D$8:$D$42))+1,""),ROW()-588)),"")</f>
        <v>https://www.comunidad.madrid/tacp/accesibilidad</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Mapa Web</v>
      </c>
      <c r="C596" s="85" t="str" cm="1">
        <f t="array" ref="C596">IFERROR(INDEX('03.Muestra'!$F$8:$F$42,SMALL(IF("Página Web"='03.Muestra'!$D$8:$D$42,ROW('03.Muestra'!$F$8:$F$42)-MIN(ROW('03.Muestra'!$D$8:$D$42))+1,""),ROW()-588)),"")</f>
        <v>https://www.comunidad.madrid/tacp/sitemap</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ref="D597:D623" si="31">IF(AND(B597&lt;&gt;"",C597&lt;&gt;""),"N/T","")</f>
        <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https://www.comunidad.madrid/tacp</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Presentación electrónica</v>
      </c>
      <c r="C628" s="85" t="str" cm="1">
        <f t="array" ref="C628">IFERROR(INDEX('03.Muestra'!$F$8:$F$42,SMALL(IF("Página Web"='03.Muestra'!$D$8:$D$42,ROW('03.Muestra'!$F$8:$F$42)-MIN(ROW('03.Muestra'!$D$8:$D$42))+1,""),ROW()-626)),"")</f>
        <v>https://www.comunidad.madrid/tacp/el-tribunal/presentacion-electronica-e-impresos-normalizados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8</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Memorias</v>
      </c>
      <c r="C629" s="85" t="str" cm="1">
        <f t="array" ref="C629">IFERROR(INDEX('03.Muestra'!$F$8:$F$42,SMALL(IF("Página Web"='03.Muestra'!$D$8:$D$42,ROW('03.Muestra'!$F$8:$F$42)-MIN(ROW('03.Muestra'!$D$8:$D$42))+1,""),ROW()-626)),"")</f>
        <v>https://www.comunidad.madrid/tacp/memorias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Buscador de resoluciones</v>
      </c>
      <c r="C630" s="85" t="str" cm="1">
        <f t="array" ref="C630">IFERROR(INDEX('03.Muestra'!$F$8:$F$42,SMALL(IF("Página Web"='03.Muestra'!$D$8:$D$42,ROW('03.Muestra'!$F$8:$F$42)-MIN(ROW('03.Muestra'!$D$8:$D$42))+1,""),ROW()-626)),"")</f>
        <v>https://www.comunidad.madrid/tacp/busquedaresoluciones</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Novedades</v>
      </c>
      <c r="C631" s="85" t="str" cm="1">
        <f t="array" ref="C631">IFERROR(INDEX('03.Muestra'!$F$8:$F$42,SMALL(IF("Página Web"='03.Muestra'!$D$8:$D$42,ROW('03.Muestra'!$F$8:$F$42)-MIN(ROW('03.Muestra'!$D$8:$D$42))+1,""),ROW()-626)),"")</f>
        <v>https://www.comunidad.madrid/tacp/novedades/publicacion-recursos-especiales-en-perfil-contratante</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Aviso Legal</v>
      </c>
      <c r="C632" s="85" t="str" cm="1">
        <f t="array" ref="C632">IFERROR(INDEX('03.Muestra'!$F$8:$F$42,SMALL(IF("Página Web"='03.Muestra'!$D$8:$D$42,ROW('03.Muestra'!$F$8:$F$42)-MIN(ROW('03.Muestra'!$D$8:$D$42))+1,""),ROW()-626)),"")</f>
        <v>https://www.comunidad.madrid/tacp/aviso-legal</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Accesibilidad</v>
      </c>
      <c r="C633" s="85" t="str" cm="1">
        <f t="array" ref="C633">IFERROR(INDEX('03.Muestra'!$F$8:$F$42,SMALL(IF("Página Web"='03.Muestra'!$D$8:$D$42,ROW('03.Muestra'!$F$8:$F$42)-MIN(ROW('03.Muestra'!$D$8:$D$42))+1,""),ROW()-626)),"")</f>
        <v>https://www.comunidad.madrid/tacp/accesibilidad</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Mapa Web</v>
      </c>
      <c r="C634" s="85" t="str" cm="1">
        <f t="array" ref="C634">IFERROR(INDEX('03.Muestra'!$F$8:$F$42,SMALL(IF("Página Web"='03.Muestra'!$D$8:$D$42,ROW('03.Muestra'!$F$8:$F$42)-MIN(ROW('03.Muestra'!$D$8:$D$42))+1,""),ROW()-626)),"")</f>
        <v>https://www.comunidad.madrid/tacp/sitemap</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ref="D635:D661" si="33">IF(AND(B635&lt;&gt;"",C635&lt;&gt;""),"N/T","")</f>
        <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https://www.comunidad.madrid/tacp</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Presentación electrónica</v>
      </c>
      <c r="C666" s="85" t="str" cm="1">
        <f t="array" ref="C666">IFERROR(INDEX('03.Muestra'!$F$8:$F$42,SMALL(IF("Página Web"='03.Muestra'!$D$8:$D$42,ROW('03.Muestra'!$F$8:$F$42)-MIN(ROW('03.Muestra'!$D$8:$D$42))+1,""),ROW()-664)),"")</f>
        <v>https://www.comunidad.madrid/tacp/el-tribunal/presentacion-electronica-e-impresos-normalizados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8</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Memorias</v>
      </c>
      <c r="C667" s="85" t="str" cm="1">
        <f t="array" ref="C667">IFERROR(INDEX('03.Muestra'!$F$8:$F$42,SMALL(IF("Página Web"='03.Muestra'!$D$8:$D$42,ROW('03.Muestra'!$F$8:$F$42)-MIN(ROW('03.Muestra'!$D$8:$D$42))+1,""),ROW()-664)),"")</f>
        <v>https://www.comunidad.madrid/tacp/memorias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Buscador de resoluciones</v>
      </c>
      <c r="C668" s="85" t="str" cm="1">
        <f t="array" ref="C668">IFERROR(INDEX('03.Muestra'!$F$8:$F$42,SMALL(IF("Página Web"='03.Muestra'!$D$8:$D$42,ROW('03.Muestra'!$F$8:$F$42)-MIN(ROW('03.Muestra'!$D$8:$D$42))+1,""),ROW()-664)),"")</f>
        <v>https://www.comunidad.madrid/tacp/busquedaresoluciones</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Novedades</v>
      </c>
      <c r="C669" s="85" t="str" cm="1">
        <f t="array" ref="C669">IFERROR(INDEX('03.Muestra'!$F$8:$F$42,SMALL(IF("Página Web"='03.Muestra'!$D$8:$D$42,ROW('03.Muestra'!$F$8:$F$42)-MIN(ROW('03.Muestra'!$D$8:$D$42))+1,""),ROW()-664)),"")</f>
        <v>https://www.comunidad.madrid/tacp/novedades/publicacion-recursos-especiales-en-perfil-contratante</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Aviso Legal</v>
      </c>
      <c r="C670" s="85" t="str" cm="1">
        <f t="array" ref="C670">IFERROR(INDEX('03.Muestra'!$F$8:$F$42,SMALL(IF("Página Web"='03.Muestra'!$D$8:$D$42,ROW('03.Muestra'!$F$8:$F$42)-MIN(ROW('03.Muestra'!$D$8:$D$42))+1,""),ROW()-664)),"")</f>
        <v>https://www.comunidad.madrid/tacp/aviso-legal</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Accesibilidad</v>
      </c>
      <c r="C671" s="85" t="str" cm="1">
        <f t="array" ref="C671">IFERROR(INDEX('03.Muestra'!$F$8:$F$42,SMALL(IF("Página Web"='03.Muestra'!$D$8:$D$42,ROW('03.Muestra'!$F$8:$F$42)-MIN(ROW('03.Muestra'!$D$8:$D$42))+1,""),ROW()-664)),"")</f>
        <v>https://www.comunidad.madrid/tacp/accesibilidad</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Mapa Web</v>
      </c>
      <c r="C672" s="85" t="str" cm="1">
        <f t="array" ref="C672">IFERROR(INDEX('03.Muestra'!$F$8:$F$42,SMALL(IF("Página Web"='03.Muestra'!$D$8:$D$42,ROW('03.Muestra'!$F$8:$F$42)-MIN(ROW('03.Muestra'!$D$8:$D$42))+1,""),ROW()-664)),"")</f>
        <v>https://www.comunidad.madrid/tacp/sitemap</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ref="D674:D699" si="35">IF(AND(B674&lt;&gt;"",C674&lt;&gt;""),"N/T","")</f>
        <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https://www.comunidad.madrid/tacp</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Presentación electrónica</v>
      </c>
      <c r="C704" s="85" t="str" cm="1">
        <f t="array" ref="C704">IFERROR(INDEX('03.Muestra'!$F$8:$F$42,SMALL(IF("Página Web"='03.Muestra'!$D$8:$D$42,ROW('03.Muestra'!$F$8:$F$42)-MIN(ROW('03.Muestra'!$D$8:$D$42))+1,""),ROW()-702)),"")</f>
        <v>https://www.comunidad.madrid/tacp/el-tribunal/presentacion-electronica-e-impresos-normalizados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8</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Memorias</v>
      </c>
      <c r="C705" s="85" t="str" cm="1">
        <f t="array" ref="C705">IFERROR(INDEX('03.Muestra'!$F$8:$F$42,SMALL(IF("Página Web"='03.Muestra'!$D$8:$D$42,ROW('03.Muestra'!$F$8:$F$42)-MIN(ROW('03.Muestra'!$D$8:$D$42))+1,""),ROW()-702)),"")</f>
        <v>https://www.comunidad.madrid/tacp/memorias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Buscador de resoluciones</v>
      </c>
      <c r="C706" s="85" t="str" cm="1">
        <f t="array" ref="C706">IFERROR(INDEX('03.Muestra'!$F$8:$F$42,SMALL(IF("Página Web"='03.Muestra'!$D$8:$D$42,ROW('03.Muestra'!$F$8:$F$42)-MIN(ROW('03.Muestra'!$D$8:$D$42))+1,""),ROW()-702)),"")</f>
        <v>https://www.comunidad.madrid/tacp/busquedaresoluciones</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Novedades</v>
      </c>
      <c r="C707" s="85" t="str" cm="1">
        <f t="array" ref="C707">IFERROR(INDEX('03.Muestra'!$F$8:$F$42,SMALL(IF("Página Web"='03.Muestra'!$D$8:$D$42,ROW('03.Muestra'!$F$8:$F$42)-MIN(ROW('03.Muestra'!$D$8:$D$42))+1,""),ROW()-702)),"")</f>
        <v>https://www.comunidad.madrid/tacp/novedades/publicacion-recursos-especiales-en-perfil-contratante</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Aviso Legal</v>
      </c>
      <c r="C708" s="85" t="str" cm="1">
        <f t="array" ref="C708">IFERROR(INDEX('03.Muestra'!$F$8:$F$42,SMALL(IF("Página Web"='03.Muestra'!$D$8:$D$42,ROW('03.Muestra'!$F$8:$F$42)-MIN(ROW('03.Muestra'!$D$8:$D$42))+1,""),ROW()-702)),"")</f>
        <v>https://www.comunidad.madrid/tacp/aviso-legal</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Accesibilidad</v>
      </c>
      <c r="C709" s="85" t="str" cm="1">
        <f t="array" ref="C709">IFERROR(INDEX('03.Muestra'!$F$8:$F$42,SMALL(IF("Página Web"='03.Muestra'!$D$8:$D$42,ROW('03.Muestra'!$F$8:$F$42)-MIN(ROW('03.Muestra'!$D$8:$D$42))+1,""),ROW()-702)),"")</f>
        <v>https://www.comunidad.madrid/tacp/accesibilidad</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Mapa Web</v>
      </c>
      <c r="C710" s="85" t="str" cm="1">
        <f t="array" ref="C710">IFERROR(INDEX('03.Muestra'!$F$8:$F$42,SMALL(IF("Página Web"='03.Muestra'!$D$8:$D$42,ROW('03.Muestra'!$F$8:$F$42)-MIN(ROW('03.Muestra'!$D$8:$D$42))+1,""),ROW()-702)),"")</f>
        <v>https://www.comunidad.madrid/tacp/sitemap</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ref="D711:D737" si="37">IF(AND(B711&lt;&gt;"",C711&lt;&gt;""),"N/T","")</f>
        <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3" stopIfTrue="1" operator="equal">
      <formula>"Pasa"</formula>
    </cfRule>
    <cfRule type="cellIs" dxfId="1002" priority="227" stopIfTrue="1" operator="equal">
      <formula>"N/D"</formula>
    </cfRule>
    <cfRule type="cellIs" dxfId="1001" priority="226" stopIfTrue="1" operator="equal">
      <formula>"N/T"</formula>
    </cfRule>
    <cfRule type="cellIs" dxfId="1000" priority="225" stopIfTrue="1" operator="equal">
      <formula>"N/A"</formula>
    </cfRule>
    <cfRule type="cellIs" dxfId="999" priority="224" stopIfTrue="1" operator="equal">
      <formula>"Falla"</formula>
    </cfRule>
    <cfRule type="expression" dxfId="998" priority="222" stopIfTrue="1">
      <formula>ISBLANK(D95)</formula>
    </cfRule>
  </conditionalFormatting>
  <conditionalFormatting sqref="D133:D168">
    <cfRule type="expression" dxfId="997" priority="208" stopIfTrue="1">
      <formula>ISBLANK(D133)</formula>
    </cfRule>
    <cfRule type="cellIs" dxfId="996" priority="209" stopIfTrue="1" operator="equal">
      <formula>"Pasa"</formula>
    </cfRule>
    <cfRule type="cellIs" dxfId="995" priority="210" stopIfTrue="1" operator="equal">
      <formula>"Falla"</formula>
    </cfRule>
    <cfRule type="cellIs" dxfId="994" priority="211" stopIfTrue="1" operator="equal">
      <formula>"N/A"</formula>
    </cfRule>
    <cfRule type="cellIs" dxfId="993" priority="212" stopIfTrue="1" operator="equal">
      <formula>"N/T"</formula>
    </cfRule>
    <cfRule type="cellIs" dxfId="992" priority="213" stopIfTrue="1" operator="equal">
      <formula>"N/D"</formula>
    </cfRule>
  </conditionalFormatting>
  <conditionalFormatting sqref="D171:D205">
    <cfRule type="cellIs" dxfId="991" priority="197" stopIfTrue="1" operator="equal">
      <formula>"N/A"</formula>
    </cfRule>
    <cfRule type="cellIs" dxfId="990" priority="196" stopIfTrue="1" operator="equal">
      <formula>"Falla"</formula>
    </cfRule>
    <cfRule type="cellIs" dxfId="989" priority="195" stopIfTrue="1" operator="equal">
      <formula>"Pasa"</formula>
    </cfRule>
    <cfRule type="expression" dxfId="988" priority="194" stopIfTrue="1">
      <formula>ISBLANK(D171)</formula>
    </cfRule>
    <cfRule type="cellIs" dxfId="987" priority="199" stopIfTrue="1" operator="equal">
      <formula>"N/D"</formula>
    </cfRule>
    <cfRule type="cellIs" dxfId="986" priority="198" stopIfTrue="1" operator="equal">
      <formula>"N/T"</formula>
    </cfRule>
  </conditionalFormatting>
  <conditionalFormatting sqref="D209:D243">
    <cfRule type="cellIs" dxfId="985" priority="184" stopIfTrue="1" operator="equal">
      <formula>"N/D"</formula>
    </cfRule>
    <cfRule type="cellIs" dxfId="984" priority="180" stopIfTrue="1" operator="equal">
      <formula>"Pasa"</formula>
    </cfRule>
    <cfRule type="cellIs" dxfId="983" priority="181" stopIfTrue="1" operator="equal">
      <formula>"Falla"</formula>
    </cfRule>
    <cfRule type="expression" dxfId="982" priority="179" stopIfTrue="1">
      <formula>ISBLANK(D209)</formula>
    </cfRule>
    <cfRule type="cellIs" dxfId="981" priority="182" stopIfTrue="1" operator="equal">
      <formula>"N/A"</formula>
    </cfRule>
    <cfRule type="cellIs" dxfId="980" priority="183" stopIfTrue="1" operator="equal">
      <formula>"N/T"</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0" stopIfTrue="1" operator="equal">
      <formula>"Pasa"</formula>
    </cfRule>
    <cfRule type="cellIs" dxfId="960" priority="121" stopIfTrue="1" operator="equal">
      <formula>"Falla"</formula>
    </cfRule>
    <cfRule type="cellIs" dxfId="959" priority="122" stopIfTrue="1" operator="equal">
      <formula>"N/A"</formula>
    </cfRule>
    <cfRule type="cellIs" dxfId="958" priority="123" stopIfTrue="1" operator="equal">
      <formula>"N/T"</formula>
    </cfRule>
    <cfRule type="cellIs" dxfId="957" priority="124" stopIfTrue="1" operator="equal">
      <formula>"N/D"</formula>
    </cfRule>
    <cfRule type="expression" dxfId="956" priority="119" stopIfTrue="1">
      <formula>ISBLANK(D361)</formula>
    </cfRule>
  </conditionalFormatting>
  <conditionalFormatting sqref="D399:D433">
    <cfRule type="cellIs" dxfId="955" priority="109" stopIfTrue="1" operator="equal">
      <formula>"N/D"</formula>
    </cfRule>
    <cfRule type="cellIs" dxfId="954" priority="108" stopIfTrue="1" operator="equal">
      <formula>"N/T"</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5" stopIfTrue="1" operator="equal">
      <formula>"N/D"</formula>
    </cfRule>
    <cfRule type="cellIs" dxfId="948" priority="94" stopIfTrue="1" operator="equal">
      <formula>"N/T"</formula>
    </cfRule>
    <cfRule type="cellIs" dxfId="947" priority="93" stopIfTrue="1" operator="equal">
      <formula>"N/A"</formula>
    </cfRule>
    <cfRule type="cellIs" dxfId="946" priority="92" stopIfTrue="1" operator="equal">
      <formula>"Falla"</formula>
    </cfRule>
    <cfRule type="cellIs" dxfId="945" priority="91" stopIfTrue="1" operator="equal">
      <formula>"Pasa"</formula>
    </cfRule>
    <cfRule type="expression" dxfId="944" priority="90" stopIfTrue="1">
      <formula>ISBLANK(D513)</formula>
    </cfRule>
  </conditionalFormatting>
  <conditionalFormatting sqref="D627:D661">
    <cfRule type="cellIs" dxfId="943" priority="50" stopIfTrue="1" operator="equal">
      <formula>"Falla"</formula>
    </cfRule>
    <cfRule type="cellIs" dxfId="942" priority="51" stopIfTrue="1" operator="equal">
      <formula>"N/A"</formula>
    </cfRule>
    <cfRule type="cellIs" dxfId="941" priority="52" stopIfTrue="1" operator="equal">
      <formula>"N/T"</formula>
    </cfRule>
    <cfRule type="cellIs" dxfId="940" priority="49" stopIfTrue="1" operator="equal">
      <formula>"Pasa"</formula>
    </cfRule>
    <cfRule type="cellIs" dxfId="939" priority="53" stopIfTrue="1" operator="equal">
      <formula>"N/D"</formula>
    </cfRule>
    <cfRule type="expression" dxfId="938" priority="48" stopIfTrue="1">
      <formula>ISBLANK(D627)</formula>
    </cfRule>
  </conditionalFormatting>
  <conditionalFormatting sqref="D665:D699">
    <cfRule type="cellIs" dxfId="937" priority="36" stopIfTrue="1" operator="equal">
      <formula>"Falla"</formula>
    </cfRule>
    <cfRule type="expression" dxfId="936" priority="34" stopIfTrue="1">
      <formula>ISBLANK(D665)</formula>
    </cfRule>
    <cfRule type="cellIs" dxfId="935" priority="35" stopIfTrue="1" operator="equal">
      <formula>"Pasa"</formula>
    </cfRule>
    <cfRule type="cellIs" dxfId="934" priority="39" stopIfTrue="1" operator="equal">
      <formula>"N/D"</formula>
    </cfRule>
    <cfRule type="cellIs" dxfId="933" priority="38" stopIfTrue="1" operator="equal">
      <formula>"N/T"</formula>
    </cfRule>
    <cfRule type="cellIs" dxfId="932" priority="37" stopIfTrue="1" operator="equal">
      <formula>"N/A"</formula>
    </cfRule>
  </conditionalFormatting>
  <conditionalFormatting sqref="D703:D737">
    <cfRule type="expression" dxfId="931" priority="20" stopIfTrue="1">
      <formula>ISBLANK(D703)</formula>
    </cfRule>
    <cfRule type="cellIs" dxfId="930" priority="21" stopIfTrue="1" operator="equal">
      <formula>"Pasa"</formula>
    </cfRule>
    <cfRule type="cellIs" dxfId="929" priority="22" stopIfTrue="1" operator="equal">
      <formula>"Falla"</formula>
    </cfRule>
    <cfRule type="cellIs" dxfId="928" priority="24" stopIfTrue="1" operator="equal">
      <formula>"N/T"</formula>
    </cfRule>
    <cfRule type="cellIs" dxfId="927" priority="25" stopIfTrue="1" operator="equal">
      <formula>"N/D"</formula>
    </cfRule>
    <cfRule type="cellIs" dxfId="926" priority="23" stopIfTrue="1" operator="equal">
      <formula>"N/A"</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9" stopIfTrue="1" operator="equal">
      <formula>"N/D"</formula>
    </cfRule>
    <cfRule type="cellIs" dxfId="909" priority="348" stopIfTrue="1" operator="equal">
      <formula>"N/T"</formula>
    </cfRule>
    <cfRule type="cellIs" dxfId="908" priority="347" stopIfTrue="1" operator="equal">
      <formula>"N/A"</formula>
    </cfRule>
    <cfRule type="cellIs" dxfId="907" priority="346" stopIfTrue="1" operator="equal">
      <formula>"Falla"</formula>
    </cfRule>
  </conditionalFormatting>
  <conditionalFormatting sqref="K23:K24">
    <cfRule type="cellIs" dxfId="906" priority="6" stopIfTrue="1" operator="equal">
      <formula>"N/D"</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zoomScale="85" zoomScaleNormal="85" workbookViewId="0">
      <selection activeCell="D323" sqref="D323:D330"/>
    </sheetView>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8.453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72</v>
      </c>
      <c r="H14" s="42">
        <f ca="1">IF(($G$15+$K$15)=0,0,G14/($G$15+$K$15))</f>
        <v>1</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72</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https://www.comunidad.madrid/tacp</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Presentación electrónica</v>
      </c>
      <c r="C20" s="85" t="str" cm="1">
        <f t="array" ref="C20">IFERROR(INDEX('03.Muestra'!$F$8:$F$42,SMALL(IF("Página Web"='03.Muestra'!$D$8:$D$42,ROW('03.Muestra'!$F$8:$F$42)-MIN(ROW('03.Muestra'!$D$8:$D$42))+1,""),ROW()-18)),"")</f>
        <v>https://www.comunidad.madrid/tacp/el-tribunal/presentacion-electronica-e-impresos-normalizados</v>
      </c>
      <c r="D20" s="99" t="s">
        <v>104</v>
      </c>
      <c r="E20" s="79" t="str">
        <f t="shared" si="0"/>
        <v/>
      </c>
      <c r="F20" s="91">
        <f ca="1">COUNTIF($D19:INDIRECT("$D" &amp;  SUM(ROW()-1,'03.Muestra'!$D$45)-1),F19)</f>
        <v>0</v>
      </c>
      <c r="G20" s="91">
        <f ca="1">COUNTIF($D19:INDIRECT("$D" &amp;  SUM(ROW()-1,'03.Muestra'!$D$45)-1),G19)</f>
        <v>0</v>
      </c>
      <c r="H20" s="91">
        <f ca="1">COUNTIF($D19:INDIRECT("$D" &amp;  SUM(ROW()-1,'03.Muestra'!$D$45)-1),H19)</f>
        <v>8</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Memorias</v>
      </c>
      <c r="C21" s="85" t="str" cm="1">
        <f t="array" ref="C21">IFERROR(INDEX('03.Muestra'!$F$8:$F$42,SMALL(IF("Página Web"='03.Muestra'!$D$8:$D$42,ROW('03.Muestra'!$F$8:$F$42)-MIN(ROW('03.Muestra'!$D$8:$D$42))+1,""),ROW()-18)),"")</f>
        <v>https://www.comunidad.madrid/tacp/memorias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Buscador de resoluciones</v>
      </c>
      <c r="C22" s="85" t="str" cm="1">
        <f t="array" ref="C22">IFERROR(INDEX('03.Muestra'!$F$8:$F$42,SMALL(IF("Página Web"='03.Muestra'!$D$8:$D$42,ROW('03.Muestra'!$F$8:$F$42)-MIN(ROW('03.Muestra'!$D$8:$D$42))+1,""),ROW()-18)),"")</f>
        <v>https://www.comunidad.madrid/tacp/busquedaresoluciones</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Novedades</v>
      </c>
      <c r="C23" s="85" t="str" cm="1">
        <f t="array" ref="C23">IFERROR(INDEX('03.Muestra'!$F$8:$F$42,SMALL(IF("Página Web"='03.Muestra'!$D$8:$D$42,ROW('03.Muestra'!$F$8:$F$42)-MIN(ROW('03.Muestra'!$D$8:$D$42))+1,""),ROW()-18)),"")</f>
        <v>https://www.comunidad.madrid/tacp/novedades/publicacion-recursos-especiales-en-perfil-contratante</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https://www.comunidad.madrid/tacp/aviso-legal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https://www.comunidad.madrid/tacp/accesibilidad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https://www.comunidad.madrid/tacp/sitemap</v>
      </c>
      <c r="D26" s="99" t="s">
        <v>104</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https://www.comunidad.madrid/tacp</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Presentación electrónica</v>
      </c>
      <c r="C58" s="85" t="str" cm="1">
        <f t="array" ref="C58">IFERROR(INDEX('03.Muestra'!$F$8:$F$42,SMALL(IF("Página Web"='03.Muestra'!$D$8:$D$42,ROW('03.Muestra'!$F$8:$F$42)-MIN(ROW('03.Muestra'!$D$8:$D$42))+1,""),ROW()-56)),"")</f>
        <v>https://www.comunidad.madrid/tacp/el-tribunal/presentacion-electronica-e-impresos-normalizados</v>
      </c>
      <c r="D58" s="99" t="s">
        <v>104</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Memorias</v>
      </c>
      <c r="C59" s="85" t="str" cm="1">
        <f t="array" ref="C59">IFERROR(INDEX('03.Muestra'!$F$8:$F$42,SMALL(IF("Página Web"='03.Muestra'!$D$8:$D$42,ROW('03.Muestra'!$F$8:$F$42)-MIN(ROW('03.Muestra'!$D$8:$D$42))+1,""),ROW()-56)),"")</f>
        <v>https://www.comunidad.madrid/tacp/memorias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Buscador de resoluciones</v>
      </c>
      <c r="C60" s="85" t="str" cm="1">
        <f t="array" ref="C60">IFERROR(INDEX('03.Muestra'!$F$8:$F$42,SMALL(IF("Página Web"='03.Muestra'!$D$8:$D$42,ROW('03.Muestra'!$F$8:$F$42)-MIN(ROW('03.Muestra'!$D$8:$D$42))+1,""),ROW()-56)),"")</f>
        <v>https://www.comunidad.madrid/tacp/busquedaresoluciones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Novedades</v>
      </c>
      <c r="C61" s="85" t="str" cm="1">
        <f t="array" ref="C61">IFERROR(INDEX('03.Muestra'!$F$8:$F$42,SMALL(IF("Página Web"='03.Muestra'!$D$8:$D$42,ROW('03.Muestra'!$F$8:$F$42)-MIN(ROW('03.Muestra'!$D$8:$D$42))+1,""),ROW()-56)),"")</f>
        <v>https://www.comunidad.madrid/tacp/novedades/publicacion-recursos-especiales-en-perfil-contratante</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https://www.comunidad.madrid/tacp/aviso-legal</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https://www.comunidad.madrid/tacp/accesibilidad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https://www.comunidad.madrid/tacp/sitemap</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https://www.comunidad.madrid/tacp</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Presentación electrónica</v>
      </c>
      <c r="C96" s="85" t="str" cm="1">
        <f t="array" ref="C96">IFERROR(INDEX('03.Muestra'!$F$8:$F$42,SMALL(IF("Página Web"='03.Muestra'!$D$8:$D$42,ROW('03.Muestra'!$F$8:$F$42)-MIN(ROW('03.Muestra'!$D$8:$D$42))+1,""),ROW()-94)),"")</f>
        <v>https://www.comunidad.madrid/tacp/el-tribunal/presentacion-electronica-e-impresos-normalizados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Memorias</v>
      </c>
      <c r="C97" s="85" t="str" cm="1">
        <f t="array" ref="C97">IFERROR(INDEX('03.Muestra'!$F$8:$F$42,SMALL(IF("Página Web"='03.Muestra'!$D$8:$D$42,ROW('03.Muestra'!$F$8:$F$42)-MIN(ROW('03.Muestra'!$D$8:$D$42))+1,""),ROW()-94)),"")</f>
        <v>https://www.comunidad.madrid/tacp/memorias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Buscador de resoluciones</v>
      </c>
      <c r="C98" s="85" t="str" cm="1">
        <f t="array" ref="C98">IFERROR(INDEX('03.Muestra'!$F$8:$F$42,SMALL(IF("Página Web"='03.Muestra'!$D$8:$D$42,ROW('03.Muestra'!$F$8:$F$42)-MIN(ROW('03.Muestra'!$D$8:$D$42))+1,""),ROW()-94)),"")</f>
        <v>https://www.comunidad.madrid/tacp/busquedaresoluciones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Novedades</v>
      </c>
      <c r="C99" s="85" t="str" cm="1">
        <f t="array" ref="C99">IFERROR(INDEX('03.Muestra'!$F$8:$F$42,SMALL(IF("Página Web"='03.Muestra'!$D$8:$D$42,ROW('03.Muestra'!$F$8:$F$42)-MIN(ROW('03.Muestra'!$D$8:$D$42))+1,""),ROW()-94)),"")</f>
        <v>https://www.comunidad.madrid/tacp/novedades/publicacion-recursos-especiales-en-perfil-contratante</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https://www.comunidad.madrid/tacp/aviso-legal</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https://www.comunidad.madrid/tacp/accesibilidad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https://www.comunidad.madrid/tacp/sitemap</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https://www.comunidad.madrid/tacp</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Presentación electrónica</v>
      </c>
      <c r="C134" s="85" t="str" cm="1">
        <f t="array" ref="C134">IFERROR(INDEX('03.Muestra'!$F$8:$F$42,SMALL(IF("Página Web"='03.Muestra'!$D$8:$D$42,ROW('03.Muestra'!$F$8:$F$42)-MIN(ROW('03.Muestra'!$D$8:$D$42))+1,""),ROW()-132)),"")</f>
        <v>https://www.comunidad.madrid/tacp/el-tribunal/presentacion-electronica-e-impresos-normalizados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8</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Memorias</v>
      </c>
      <c r="C135" s="85" t="str" cm="1">
        <f t="array" ref="C135">IFERROR(INDEX('03.Muestra'!$F$8:$F$42,SMALL(IF("Página Web"='03.Muestra'!$D$8:$D$42,ROW('03.Muestra'!$F$8:$F$42)-MIN(ROW('03.Muestra'!$D$8:$D$42))+1,""),ROW()-132)),"")</f>
        <v>https://www.comunidad.madrid/tacp/memorias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Buscador de resoluciones</v>
      </c>
      <c r="C136" s="85" t="str" cm="1">
        <f t="array" ref="C136">IFERROR(INDEX('03.Muestra'!$F$8:$F$42,SMALL(IF("Página Web"='03.Muestra'!$D$8:$D$42,ROW('03.Muestra'!$F$8:$F$42)-MIN(ROW('03.Muestra'!$D$8:$D$42))+1,""),ROW()-132)),"")</f>
        <v>https://www.comunidad.madrid/tacp/busquedaresoluciones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Novedades</v>
      </c>
      <c r="C137" s="85" t="str" cm="1">
        <f t="array" ref="C137">IFERROR(INDEX('03.Muestra'!$F$8:$F$42,SMALL(IF("Página Web"='03.Muestra'!$D$8:$D$42,ROW('03.Muestra'!$F$8:$F$42)-MIN(ROW('03.Muestra'!$D$8:$D$42))+1,""),ROW()-132)),"")</f>
        <v>https://www.comunidad.madrid/tacp/novedades/publicacion-recursos-especiales-en-perfil-contratante</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https://www.comunidad.madrid/tacp/aviso-legal</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https://www.comunidad.madrid/tacp/accesibilidad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https://www.comunidad.madrid/tacp/sitemap</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https://www.comunidad.madrid/tacp</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Presentación electrónica</v>
      </c>
      <c r="C172" s="85" t="str" cm="1">
        <f t="array" ref="C172">IFERROR(INDEX('03.Muestra'!$F$8:$F$42,SMALL(IF("Página Web"='03.Muestra'!$D$8:$D$42,ROW('03.Muestra'!$F$8:$F$42)-MIN(ROW('03.Muestra'!$D$8:$D$42))+1,""),ROW()-170)),"")</f>
        <v>https://www.comunidad.madrid/tacp/el-tribunal/presentacion-electronica-e-impresos-normalizados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Memorias</v>
      </c>
      <c r="C173" s="85" t="str" cm="1">
        <f t="array" ref="C173">IFERROR(INDEX('03.Muestra'!$F$8:$F$42,SMALL(IF("Página Web"='03.Muestra'!$D$8:$D$42,ROW('03.Muestra'!$F$8:$F$42)-MIN(ROW('03.Muestra'!$D$8:$D$42))+1,""),ROW()-170)),"")</f>
        <v>https://www.comunidad.madrid/tacp/memorias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Buscador de resoluciones</v>
      </c>
      <c r="C174" s="85" t="str" cm="1">
        <f t="array" ref="C174">IFERROR(INDEX('03.Muestra'!$F$8:$F$42,SMALL(IF("Página Web"='03.Muestra'!$D$8:$D$42,ROW('03.Muestra'!$F$8:$F$42)-MIN(ROW('03.Muestra'!$D$8:$D$42))+1,""),ROW()-170)),"")</f>
        <v>https://www.comunidad.madrid/tacp/busquedaresoluciones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Novedades</v>
      </c>
      <c r="C175" s="85" t="str" cm="1">
        <f t="array" ref="C175">IFERROR(INDEX('03.Muestra'!$F$8:$F$42,SMALL(IF("Página Web"='03.Muestra'!$D$8:$D$42,ROW('03.Muestra'!$F$8:$F$42)-MIN(ROW('03.Muestra'!$D$8:$D$42))+1,""),ROW()-170)),"")</f>
        <v>https://www.comunidad.madrid/tacp/novedades/publicacion-recursos-especiales-en-perfil-contratante</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https://www.comunidad.madrid/tacp/aviso-legal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https://www.comunidad.madrid/tacp/accesibilidad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https://www.comunidad.madrid/tacp/sitemap</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https://www.comunidad.madrid/tacp</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Presentación electrónica</v>
      </c>
      <c r="C210" s="85" t="str" cm="1">
        <f t="array" ref="C210">IFERROR(INDEX('03.Muestra'!$F$8:$F$42,SMALL(IF("Página Web"='03.Muestra'!$D$8:$D$42,ROW('03.Muestra'!$F$8:$F$42)-MIN(ROW('03.Muestra'!$D$8:$D$42))+1,""),ROW()-208)),"")</f>
        <v>https://www.comunidad.madrid/tacp/el-tribunal/presentacion-electronica-e-impresos-normalizados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8</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Memorias</v>
      </c>
      <c r="C211" s="85" t="str" cm="1">
        <f t="array" ref="C211">IFERROR(INDEX('03.Muestra'!$F$8:$F$42,SMALL(IF("Página Web"='03.Muestra'!$D$8:$D$42,ROW('03.Muestra'!$F$8:$F$42)-MIN(ROW('03.Muestra'!$D$8:$D$42))+1,""),ROW()-208)),"")</f>
        <v>https://www.comunidad.madrid/tacp/memorias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Buscador de resoluciones</v>
      </c>
      <c r="C212" s="85" t="str" cm="1">
        <f t="array" ref="C212">IFERROR(INDEX('03.Muestra'!$F$8:$F$42,SMALL(IF("Página Web"='03.Muestra'!$D$8:$D$42,ROW('03.Muestra'!$F$8:$F$42)-MIN(ROW('03.Muestra'!$D$8:$D$42))+1,""),ROW()-208)),"")</f>
        <v>https://www.comunidad.madrid/tacp/busquedaresoluciones</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Novedades</v>
      </c>
      <c r="C213" s="85" t="str" cm="1">
        <f t="array" ref="C213">IFERROR(INDEX('03.Muestra'!$F$8:$F$42,SMALL(IF("Página Web"='03.Muestra'!$D$8:$D$42,ROW('03.Muestra'!$F$8:$F$42)-MIN(ROW('03.Muestra'!$D$8:$D$42))+1,""),ROW()-208)),"")</f>
        <v>https://www.comunidad.madrid/tacp/novedades/publicacion-recursos-especiales-en-perfil-contratante</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https://www.comunidad.madrid/tacp/aviso-legal</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https://www.comunidad.madrid/tacp/accesibilidad</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Mapa Web</v>
      </c>
      <c r="C216" s="85" t="str" cm="1">
        <f t="array" ref="C216">IFERROR(INDEX('03.Muestra'!$F$8:$F$42,SMALL(IF("Página Web"='03.Muestra'!$D$8:$D$42,ROW('03.Muestra'!$F$8:$F$42)-MIN(ROW('03.Muestra'!$D$8:$D$42))+1,""),ROW()-208)),"")</f>
        <v>https://www.comunidad.madrid/tacp/sitemap</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ref="D217:D243" si="11">IF(AND(B217&lt;&gt;"",C217&lt;&gt;""),"N/T","")</f>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https://www.comunidad.madrid/tacp</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Presentación electrónica</v>
      </c>
      <c r="C248" s="85" t="str" cm="1">
        <f t="array" ref="C248">IFERROR(INDEX('03.Muestra'!$F$8:$F$42,SMALL(IF("Página Web"='03.Muestra'!$D$8:$D$42,ROW('03.Muestra'!$F$8:$F$42)-MIN(ROW('03.Muestra'!$D$8:$D$42))+1,""),ROW()-246)),"")</f>
        <v>https://www.comunidad.madrid/tacp/el-tribunal/presentacion-electronica-e-impresos-normalizados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8</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Memorias</v>
      </c>
      <c r="C249" s="85" t="str" cm="1">
        <f t="array" ref="C249">IFERROR(INDEX('03.Muestra'!$F$8:$F$42,SMALL(IF("Página Web"='03.Muestra'!$D$8:$D$42,ROW('03.Muestra'!$F$8:$F$42)-MIN(ROW('03.Muestra'!$D$8:$D$42))+1,""),ROW()-246)),"")</f>
        <v>https://www.comunidad.madrid/tacp/memorias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Buscador de resoluciones</v>
      </c>
      <c r="C250" s="85" t="str" cm="1">
        <f t="array" ref="C250">IFERROR(INDEX('03.Muestra'!$F$8:$F$42,SMALL(IF("Página Web"='03.Muestra'!$D$8:$D$42,ROW('03.Muestra'!$F$8:$F$42)-MIN(ROW('03.Muestra'!$D$8:$D$42))+1,""),ROW()-246)),"")</f>
        <v>https://www.comunidad.madrid/tacp/busquedaresoluciones</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Novedades</v>
      </c>
      <c r="C251" s="85" t="str" cm="1">
        <f t="array" ref="C251">IFERROR(INDEX('03.Muestra'!$F$8:$F$42,SMALL(IF("Página Web"='03.Muestra'!$D$8:$D$42,ROW('03.Muestra'!$F$8:$F$42)-MIN(ROW('03.Muestra'!$D$8:$D$42))+1,""),ROW()-246)),"")</f>
        <v>https://www.comunidad.madrid/tacp/novedades/publicacion-recursos-especiales-en-perfil-contratante</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https://www.comunidad.madrid/tacp/aviso-legal</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https://www.comunidad.madrid/tacp/accesibilidad</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Mapa Web</v>
      </c>
      <c r="C254" s="85" t="str" cm="1">
        <f t="array" ref="C254">IFERROR(INDEX('03.Muestra'!$F$8:$F$42,SMALL(IF("Página Web"='03.Muestra'!$D$8:$D$42,ROW('03.Muestra'!$F$8:$F$42)-MIN(ROW('03.Muestra'!$D$8:$D$42))+1,""),ROW()-246)),"")</f>
        <v>https://www.comunidad.madrid/tacp/sitemap</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ref="D255:D281" si="13">IF(AND(B255&lt;&gt;"",C255&lt;&gt;""),"N/T","")</f>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https://www.comunidad.madrid/tacp</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Presentación electrónica</v>
      </c>
      <c r="C286" s="85" t="str" cm="1">
        <f t="array" ref="C286">IFERROR(INDEX('03.Muestra'!$F$8:$F$42,SMALL(IF("Página Web"='03.Muestra'!$D$8:$D$42,ROW('03.Muestra'!$F$8:$F$42)-MIN(ROW('03.Muestra'!$D$8:$D$42))+1,""),ROW()-284)),"")</f>
        <v>https://www.comunidad.madrid/tacp/el-tribunal/presentacion-electronica-e-impresos-normalizados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8</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Memorias</v>
      </c>
      <c r="C287" s="85" t="str" cm="1">
        <f t="array" ref="C287">IFERROR(INDEX('03.Muestra'!$F$8:$F$42,SMALL(IF("Página Web"='03.Muestra'!$D$8:$D$42,ROW('03.Muestra'!$F$8:$F$42)-MIN(ROW('03.Muestra'!$D$8:$D$42))+1,""),ROW()-284)),"")</f>
        <v>https://www.comunidad.madrid/tacp/memorias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Buscador de resoluciones</v>
      </c>
      <c r="C288" s="85" t="str" cm="1">
        <f t="array" ref="C288">IFERROR(INDEX('03.Muestra'!$F$8:$F$42,SMALL(IF("Página Web"='03.Muestra'!$D$8:$D$42,ROW('03.Muestra'!$F$8:$F$42)-MIN(ROW('03.Muestra'!$D$8:$D$42))+1,""),ROW()-284)),"")</f>
        <v>https://www.comunidad.madrid/tacp/busquedaresoluciones</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Novedades</v>
      </c>
      <c r="C289" s="85" t="str" cm="1">
        <f t="array" ref="C289">IFERROR(INDEX('03.Muestra'!$F$8:$F$42,SMALL(IF("Página Web"='03.Muestra'!$D$8:$D$42,ROW('03.Muestra'!$F$8:$F$42)-MIN(ROW('03.Muestra'!$D$8:$D$42))+1,""),ROW()-284)),"")</f>
        <v>https://www.comunidad.madrid/tacp/novedades/publicacion-recursos-especiales-en-perfil-contratante</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https://www.comunidad.madrid/tacp/aviso-legal</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https://www.comunidad.madrid/tacp/accesibilidad</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Mapa Web</v>
      </c>
      <c r="C292" s="85" t="str" cm="1">
        <f t="array" ref="C292">IFERROR(INDEX('03.Muestra'!$F$8:$F$42,SMALL(IF("Página Web"='03.Muestra'!$D$8:$D$42,ROW('03.Muestra'!$F$8:$F$42)-MIN(ROW('03.Muestra'!$D$8:$D$42))+1,""),ROW()-284)),"")</f>
        <v>https://www.comunidad.madrid/tacp/sitemap</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ref="D293:D319" si="15">IF(AND(B293&lt;&gt;"",C293&lt;&gt;""),"N/T","")</f>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https://www.comunidad.madrid/tacp</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Presentación electrónica</v>
      </c>
      <c r="C324" s="85" t="str" cm="1">
        <f t="array" ref="C324">IFERROR(INDEX('03.Muestra'!$F$8:$F$42,SMALL(IF("Página Web"='03.Muestra'!$D$8:$D$42,ROW('03.Muestra'!$F$8:$F$42)-MIN(ROW('03.Muestra'!$D$8:$D$42))+1,""),ROW()-322)),"")</f>
        <v>https://www.comunidad.madrid/tacp/el-tribunal/presentacion-electronica-e-impresos-normalizados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8</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Memorias</v>
      </c>
      <c r="C325" s="85" t="str" cm="1">
        <f t="array" ref="C325">IFERROR(INDEX('03.Muestra'!$F$8:$F$42,SMALL(IF("Página Web"='03.Muestra'!$D$8:$D$42,ROW('03.Muestra'!$F$8:$F$42)-MIN(ROW('03.Muestra'!$D$8:$D$42))+1,""),ROW()-322)),"")</f>
        <v>https://www.comunidad.madrid/tacp/memorias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Buscador de resoluciones</v>
      </c>
      <c r="C326" s="85" t="str" cm="1">
        <f t="array" ref="C326">IFERROR(INDEX('03.Muestra'!$F$8:$F$42,SMALL(IF("Página Web"='03.Muestra'!$D$8:$D$42,ROW('03.Muestra'!$F$8:$F$42)-MIN(ROW('03.Muestra'!$D$8:$D$42))+1,""),ROW()-322)),"")</f>
        <v>https://www.comunidad.madrid/tacp/busquedaresoluciones</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Novedades</v>
      </c>
      <c r="C327" s="85" t="str" cm="1">
        <f t="array" ref="C327">IFERROR(INDEX('03.Muestra'!$F$8:$F$42,SMALL(IF("Página Web"='03.Muestra'!$D$8:$D$42,ROW('03.Muestra'!$F$8:$F$42)-MIN(ROW('03.Muestra'!$D$8:$D$42))+1,""),ROW()-322)),"")</f>
        <v>https://www.comunidad.madrid/tacp/novedades/publicacion-recursos-especiales-en-perfil-contratante</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https://www.comunidad.madrid/tacp/aviso-legal</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https://www.comunidad.madrid/tacp/accesibilidad</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Mapa Web</v>
      </c>
      <c r="C330" s="85" t="str" cm="1">
        <f t="array" ref="C330">IFERROR(INDEX('03.Muestra'!$F$8:$F$42,SMALL(IF("Página Web"='03.Muestra'!$D$8:$D$42,ROW('03.Muestra'!$F$8:$F$42)-MIN(ROW('03.Muestra'!$D$8:$D$42))+1,""),ROW()-322)),"")</f>
        <v>https://www.comunidad.madrid/tacp/sitemap</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ref="D331:D357" si="17">IF(AND(B331&lt;&gt;"",C331&lt;&gt;""),"N/T","")</f>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900" priority="84" stopIfTrue="1">
      <formula>ISBLANK(D19)</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cellIs" dxfId="894" priority="83" stopIfTrue="1" operator="equal">
      <formula>"-"</formula>
    </cfRule>
  </conditionalFormatting>
  <conditionalFormatting sqref="D57:D91">
    <cfRule type="cellIs" dxfId="893" priority="81" stopIfTrue="1" operator="equal">
      <formula>"N/T"</formula>
    </cfRule>
    <cfRule type="cellIs" dxfId="892" priority="80" stopIfTrue="1" operator="equal">
      <formula>"N/A"</formula>
    </cfRule>
    <cfRule type="cellIs" dxfId="891" priority="82" stopIfTrue="1" operator="equal">
      <formula>"N/D"</formula>
    </cfRule>
    <cfRule type="cellIs" dxfId="890" priority="76" stopIfTrue="1" operator="equal">
      <formula>"-"</formula>
    </cfRule>
    <cfRule type="expression" dxfId="889" priority="77" stopIfTrue="1">
      <formula>ISBLANK(D57)</formula>
    </cfRule>
    <cfRule type="cellIs" dxfId="888" priority="78" stopIfTrue="1" operator="equal">
      <formula>"Pasa"</formula>
    </cfRule>
    <cfRule type="cellIs" dxfId="887" priority="79" stopIfTrue="1" operator="equal">
      <formula>"Falla"</formula>
    </cfRule>
  </conditionalFormatting>
  <conditionalFormatting sqref="D95:D129">
    <cfRule type="cellIs" dxfId="886" priority="69" stopIfTrue="1" operator="equal">
      <formula>"-"</formula>
    </cfRule>
    <cfRule type="cellIs" dxfId="885" priority="75" stopIfTrue="1" operator="equal">
      <formula>"N/D"</formula>
    </cfRule>
    <cfRule type="cellIs" dxfId="884" priority="74" stopIfTrue="1" operator="equal">
      <formula>"N/T"</formula>
    </cfRule>
    <cfRule type="cellIs" dxfId="883" priority="73" stopIfTrue="1" operator="equal">
      <formula>"N/A"</formula>
    </cfRule>
    <cfRule type="cellIs" dxfId="882" priority="72" stopIfTrue="1" operator="equal">
      <formula>"Falla"</formula>
    </cfRule>
    <cfRule type="cellIs" dxfId="881" priority="71" stopIfTrue="1" operator="equal">
      <formula>"Pasa"</formula>
    </cfRule>
    <cfRule type="expression" dxfId="880" priority="70" stopIfTrue="1">
      <formula>ISBLANK(D95)</formula>
    </cfRule>
  </conditionalFormatting>
  <conditionalFormatting sqref="D133:D167">
    <cfRule type="cellIs" dxfId="879" priority="33" stopIfTrue="1" operator="equal">
      <formula>"N/D"</formula>
    </cfRule>
    <cfRule type="cellIs" dxfId="878" priority="32" stopIfTrue="1" operator="equal">
      <formula>"N/T"</formula>
    </cfRule>
    <cfRule type="cellIs" dxfId="877" priority="31" stopIfTrue="1" operator="equal">
      <formula>"N/A"</formula>
    </cfRule>
    <cfRule type="cellIs" dxfId="876" priority="30" stopIfTrue="1" operator="equal">
      <formula>"Falla"</formula>
    </cfRule>
    <cfRule type="cellIs" dxfId="875" priority="29" stopIfTrue="1" operator="equal">
      <formula>"Pasa"</formula>
    </cfRule>
    <cfRule type="expression" dxfId="874" priority="28" stopIfTrue="1">
      <formula>ISBLANK(D133)</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6" stopIfTrue="1" operator="equal">
      <formula>"Falla"</formula>
    </cfRule>
    <cfRule type="cellIs" dxfId="870" priority="17" stopIfTrue="1" operator="equal">
      <formula>"N/A"</formula>
    </cfRule>
    <cfRule type="cellIs" dxfId="869" priority="18" stopIfTrue="1" operator="equal">
      <formula>"N/T"</formula>
    </cfRule>
    <cfRule type="cellIs" dxfId="868" priority="19" stopIfTrue="1" operator="equal">
      <formula>"N/D"</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8" stopIfTrue="1" operator="equal">
      <formula>"N/D"</formula>
    </cfRule>
    <cfRule type="cellIs" dxfId="864" priority="62" stopIfTrue="1" operator="equal">
      <formula>"-"</formula>
    </cfRule>
    <cfRule type="expression" dxfId="863" priority="63" stopIfTrue="1">
      <formula>ISBLANK(D209)</formula>
    </cfRule>
    <cfRule type="cellIs" dxfId="862" priority="64" stopIfTrue="1" operator="equal">
      <formula>"Pasa"</formula>
    </cfRule>
    <cfRule type="cellIs" dxfId="861" priority="65" stopIfTrue="1" operator="equal">
      <formula>"Falla"</formula>
    </cfRule>
    <cfRule type="cellIs" dxfId="860" priority="66" stopIfTrue="1" operator="equal">
      <formula>"N/A"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4" stopIfTrue="1" operator="equal">
      <formula>"N/D"</formula>
    </cfRule>
    <cfRule type="cellIs" dxfId="850" priority="53" stopIfTrue="1" operator="equal">
      <formula>"N/T"</formula>
    </cfRule>
    <cfRule type="cellIs" dxfId="849" priority="52" stopIfTrue="1" operator="equal">
      <formula>"N/A"</formula>
    </cfRule>
    <cfRule type="cellIs" dxfId="848" priority="51" stopIfTrue="1" operator="equal">
      <formula>"Falla"</formula>
    </cfRule>
    <cfRule type="expression" dxfId="847" priority="49" stopIfTrue="1">
      <formula>ISBLANK(D285)</formula>
    </cfRule>
    <cfRule type="cellIs" dxfId="846" priority="48" stopIfTrue="1" operator="equal">
      <formula>"-"</formula>
    </cfRule>
    <cfRule type="cellIs" dxfId="845" priority="50" stopIfTrue="1" operator="equal">
      <formula>"Pasa"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137" zoomScale="90" zoomScaleNormal="90" workbookViewId="0">
      <selection activeCell="D1165" sqref="D1165"/>
    </sheetView>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6.63281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5" customHeight="1">
      <c r="B7" s="18"/>
      <c r="C7" s="18"/>
      <c r="D7" s="18"/>
      <c r="E7" s="79"/>
      <c r="F7" s="18"/>
      <c r="G7" s="18"/>
      <c r="H7" s="18"/>
      <c r="I7" s="18"/>
      <c r="J7" s="18"/>
      <c r="K7" s="18"/>
      <c r="L7" s="18"/>
      <c r="M7" s="18"/>
      <c r="N7" s="18"/>
      <c r="O7" s="18"/>
    </row>
    <row r="8" spans="1:64" ht="1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178</v>
      </c>
      <c r="H12" s="42">
        <f ca="1">IF(($G$15+$K$15)=0,0,G12/($G$15+$K$15))</f>
        <v>0.44500000000000001</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64</v>
      </c>
      <c r="H13" s="42">
        <f ca="1">IF(($G$15+$K$15)=0,0,G13/($G$15+$K$15))</f>
        <v>0.16</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158</v>
      </c>
      <c r="H14" s="42">
        <f ca="1">IF(($G$15+$K$15)=0,0,G14/($G$15+$K$15))</f>
        <v>0.39500000000000002</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400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https://www.comunidad.madrid/tacp</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Presentación electrónica</v>
      </c>
      <c r="C20" s="85" t="str" cm="1">
        <f t="array" ref="C20">IFERROR(INDEX('03.Muestra'!$F$8:$F$42,SMALL(IF("Página Web"='03.Muestra'!$D$8:$D$42,ROW('03.Muestra'!$F$8:$F$42)-MIN(ROW('03.Muestra'!$D$8:$D$42))+1,""),ROW()-18)),"")</f>
        <v>https://www.comunidad.madrid/tacp/el-tribunal/presentacion-electronica-e-impresos-normalizados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2</v>
      </c>
      <c r="J20" s="91">
        <f ca="1">COUNTIF($D19:INDIRECT("$D" &amp;  SUM(ROW()-1,'03.Muestra'!$D$45)-1),J19)</f>
        <v>6</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Memorias</v>
      </c>
      <c r="C21" s="85" t="str" cm="1">
        <f t="array" ref="C21">IFERROR(INDEX('03.Muestra'!$F$8:$F$42,SMALL(IF("Página Web"='03.Muestra'!$D$8:$D$42,ROW('03.Muestra'!$F$8:$F$42)-MIN(ROW('03.Muestra'!$D$8:$D$42))+1,""),ROW()-18)),"")</f>
        <v>https://www.comunidad.madrid/tacp/memorias</v>
      </c>
      <c r="D21" s="99" t="s">
        <v>94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Buscador de resoluciones</v>
      </c>
      <c r="C22" s="85" t="str" cm="1">
        <f t="array" ref="C22">IFERROR(INDEX('03.Muestra'!$F$8:$F$42,SMALL(IF("Página Web"='03.Muestra'!$D$8:$D$42,ROW('03.Muestra'!$F$8:$F$42)-MIN(ROW('03.Muestra'!$D$8:$D$42))+1,""),ROW()-18)),"")</f>
        <v>https://www.comunidad.madrid/tacp/busquedaresoluciones</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Novedades</v>
      </c>
      <c r="C23" s="85" t="str" cm="1">
        <f t="array" ref="C23">IFERROR(INDEX('03.Muestra'!$F$8:$F$42,SMALL(IF("Página Web"='03.Muestra'!$D$8:$D$42,ROW('03.Muestra'!$F$8:$F$42)-MIN(ROW('03.Muestra'!$D$8:$D$42))+1,""),ROW()-18)),"")</f>
        <v>https://www.comunidad.madrid/tacp/novedades/publicacion-recursos-especiales-en-perfil-contratante</v>
      </c>
      <c r="D23" s="99" t="s">
        <v>94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https://www.comunidad.madrid/tacp/aviso-legal</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https://www.comunidad.madrid/tacp/accesibilidad</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Mapa Web</v>
      </c>
      <c r="C26" s="85" t="str" cm="1">
        <f t="array" ref="C26">IFERROR(INDEX('03.Muestra'!$F$8:$F$42,SMALL(IF("Página Web"='03.Muestra'!$D$8:$D$42,ROW('03.Muestra'!$F$8:$F$42)-MIN(ROW('03.Muestra'!$D$8:$D$42))+1,""),ROW()-18)),"")</f>
        <v>https://www.comunidad.madrid/tacp/sitemap</v>
      </c>
      <c r="D26" s="99" t="s">
        <v>92</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ref="D27:D53" si="1">IF(AND(B27&lt;&gt;"",C27&lt;&gt;""),"N/T","")</f>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https://www.comunidad.madrid/tacp</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Presentación electrónica</v>
      </c>
      <c r="C58" s="85" t="str" cm="1">
        <f t="array" ref="C58">IFERROR(INDEX('03.Muestra'!$F$8:$F$42,SMALL(IF("Página Web"='03.Muestra'!$D$8:$D$42,ROW('03.Muestra'!$F$8:$F$42)-MIN(ROW('03.Muestra'!$D$8:$D$42))+1,""),ROW()-56)),"")</f>
        <v>https://www.comunidad.madrid/tacp/el-tribunal/presentacion-electronica-e-impresos-normalizados</v>
      </c>
      <c r="D58" s="99" t="s">
        <v>104</v>
      </c>
      <c r="E58" s="79" t="str">
        <f t="shared" si="2"/>
        <v/>
      </c>
      <c r="F58" s="91">
        <f ca="1">COUNTIF($D57:INDIRECT("$D" &amp;  SUM(ROW()-1,'03.Muestra'!$D$45)-1),F57)</f>
        <v>0</v>
      </c>
      <c r="G58" s="91">
        <f ca="1">COUNTIF($D57:INDIRECT("$D" &amp;  SUM(ROW()-1,'03.Muestra'!$D$45)-1),G57)</f>
        <v>0</v>
      </c>
      <c r="H58" s="91">
        <f ca="1">COUNTIF($D57:INDIRECT("$D" &amp;  SUM(ROW()-1,'03.Muestra'!$D$45)-1),H57)</f>
        <v>8</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Memorias</v>
      </c>
      <c r="C59" s="85" t="str" cm="1">
        <f t="array" ref="C59">IFERROR(INDEX('03.Muestra'!$F$8:$F$42,SMALL(IF("Página Web"='03.Muestra'!$D$8:$D$42,ROW('03.Muestra'!$F$8:$F$42)-MIN(ROW('03.Muestra'!$D$8:$D$42))+1,""),ROW()-56)),"")</f>
        <v>https://www.comunidad.madrid/tacp/memorias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Buscador de resoluciones</v>
      </c>
      <c r="C60" s="85" t="str" cm="1">
        <f t="array" ref="C60">IFERROR(INDEX('03.Muestra'!$F$8:$F$42,SMALL(IF("Página Web"='03.Muestra'!$D$8:$D$42,ROW('03.Muestra'!$F$8:$F$42)-MIN(ROW('03.Muestra'!$D$8:$D$42))+1,""),ROW()-56)),"")</f>
        <v>https://www.comunidad.madrid/tacp/busquedaresoluciones</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Novedades</v>
      </c>
      <c r="C61" s="85" t="str" cm="1">
        <f t="array" ref="C61">IFERROR(INDEX('03.Muestra'!$F$8:$F$42,SMALL(IF("Página Web"='03.Muestra'!$D$8:$D$42,ROW('03.Muestra'!$F$8:$F$42)-MIN(ROW('03.Muestra'!$D$8:$D$42))+1,""),ROW()-56)),"")</f>
        <v>https://www.comunidad.madrid/tacp/novedades/publicacion-recursos-especiales-en-perfil-contratante</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https://www.comunidad.madrid/tacp/aviso-legal</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https://www.comunidad.madrid/tacp/accesibilidad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Mapa Web</v>
      </c>
      <c r="C64" s="85" t="str" cm="1">
        <f t="array" ref="C64">IFERROR(INDEX('03.Muestra'!$F$8:$F$42,SMALL(IF("Página Web"='03.Muestra'!$D$8:$D$42,ROW('03.Muestra'!$F$8:$F$42)-MIN(ROW('03.Muestra'!$D$8:$D$42))+1,""),ROW()-56)),"")</f>
        <v>https://www.comunidad.madrid/tacp/sitemap</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ref="D65:D91" si="3">IF(AND(B65&lt;&gt;"",C65&lt;&gt;""),"N/T","")</f>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https://www.comunidad.madrid/tacp</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Presentación electrónica</v>
      </c>
      <c r="C96" s="85" t="str" cm="1">
        <f t="array" ref="C96">IFERROR(INDEX('03.Muestra'!$F$8:$F$42,SMALL(IF("Página Web"='03.Muestra'!$D$8:$D$42,ROW('03.Muestra'!$F$8:$F$42)-MIN(ROW('03.Muestra'!$D$8:$D$42))+1,""),ROW()-94)),"")</f>
        <v>https://www.comunidad.madrid/tacp/el-tribunal/presentacion-electronica-e-impresos-normalizados</v>
      </c>
      <c r="D96" s="99" t="s">
        <v>104</v>
      </c>
      <c r="E96" s="79" t="str">
        <f t="shared" si="4"/>
        <v/>
      </c>
      <c r="F96" s="91">
        <f ca="1">COUNTIF($D95:INDIRECT("$D" &amp;  SUM(ROW()-1,'03.Muestra'!$D$45)-1),F95)</f>
        <v>0</v>
      </c>
      <c r="G96" s="91">
        <f ca="1">COUNTIF($D95:INDIRECT("$D" &amp;  SUM(ROW()-1,'03.Muestra'!$D$45)-1),G95)</f>
        <v>0</v>
      </c>
      <c r="H96" s="91">
        <f ca="1">COUNTIF($D95:INDIRECT("$D" &amp;  SUM(ROW()-1,'03.Muestra'!$D$45)-1),H95)</f>
        <v>8</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Memorias</v>
      </c>
      <c r="C97" s="85" t="str" cm="1">
        <f t="array" ref="C97">IFERROR(INDEX('03.Muestra'!$F$8:$F$42,SMALL(IF("Página Web"='03.Muestra'!$D$8:$D$42,ROW('03.Muestra'!$F$8:$F$42)-MIN(ROW('03.Muestra'!$D$8:$D$42))+1,""),ROW()-94)),"")</f>
        <v>https://www.comunidad.madrid/tacp/memorias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Buscador de resoluciones</v>
      </c>
      <c r="C98" s="85" t="str" cm="1">
        <f t="array" ref="C98">IFERROR(INDEX('03.Muestra'!$F$8:$F$42,SMALL(IF("Página Web"='03.Muestra'!$D$8:$D$42,ROW('03.Muestra'!$F$8:$F$42)-MIN(ROW('03.Muestra'!$D$8:$D$42))+1,""),ROW()-94)),"")</f>
        <v>https://www.comunidad.madrid/tacp/busquedaresoluciones</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Novedades</v>
      </c>
      <c r="C99" s="85" t="str" cm="1">
        <f t="array" ref="C99">IFERROR(INDEX('03.Muestra'!$F$8:$F$42,SMALL(IF("Página Web"='03.Muestra'!$D$8:$D$42,ROW('03.Muestra'!$F$8:$F$42)-MIN(ROW('03.Muestra'!$D$8:$D$42))+1,""),ROW()-94)),"")</f>
        <v>https://www.comunidad.madrid/tacp/novedades/publicacion-recursos-especiales-en-perfil-contratante</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https://www.comunidad.madrid/tacp/aviso-legal</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https://www.comunidad.madrid/tacp/accesibilidad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Mapa Web</v>
      </c>
      <c r="C102" s="85" t="str" cm="1">
        <f t="array" ref="C102">IFERROR(INDEX('03.Muestra'!$F$8:$F$42,SMALL(IF("Página Web"='03.Muestra'!$D$8:$D$42,ROW('03.Muestra'!$F$8:$F$42)-MIN(ROW('03.Muestra'!$D$8:$D$42))+1,""),ROW()-94)),"")</f>
        <v>https://www.comunidad.madrid/tacp/sitemap</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ref="D103:D129" si="5">IF(AND(B103&lt;&gt;"",C103&lt;&gt;""),"N/T","")</f>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https://www.comunidad.madrid/tacp</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Presentación electrónica</v>
      </c>
      <c r="C134" s="85" t="str" cm="1">
        <f t="array" ref="C134">IFERROR(INDEX('03.Muestra'!$F$8:$F$42,SMALL(IF("Página Web"='03.Muestra'!$D$8:$D$42,ROW('03.Muestra'!$F$8:$F$42)-MIN(ROW('03.Muestra'!$D$8:$D$42))+1,""),ROW()-132)),"")</f>
        <v>https://www.comunidad.madrid/tacp/el-tribunal/presentacion-electronica-e-impresos-normalizados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8</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Memorias</v>
      </c>
      <c r="C135" s="85" t="str" cm="1">
        <f t="array" ref="C135">IFERROR(INDEX('03.Muestra'!$F$8:$F$42,SMALL(IF("Página Web"='03.Muestra'!$D$8:$D$42,ROW('03.Muestra'!$F$8:$F$42)-MIN(ROW('03.Muestra'!$D$8:$D$42))+1,""),ROW()-132)),"")</f>
        <v>https://www.comunidad.madrid/tacp/memorias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Buscador de resoluciones</v>
      </c>
      <c r="C136" s="85" t="str" cm="1">
        <f t="array" ref="C136">IFERROR(INDEX('03.Muestra'!$F$8:$F$42,SMALL(IF("Página Web"='03.Muestra'!$D$8:$D$42,ROW('03.Muestra'!$F$8:$F$42)-MIN(ROW('03.Muestra'!$D$8:$D$42))+1,""),ROW()-132)),"")</f>
        <v>https://www.comunidad.madrid/tacp/busquedaresoluciones</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Novedades</v>
      </c>
      <c r="C137" s="85" t="str" cm="1">
        <f t="array" ref="C137">IFERROR(INDEX('03.Muestra'!$F$8:$F$42,SMALL(IF("Página Web"='03.Muestra'!$D$8:$D$42,ROW('03.Muestra'!$F$8:$F$42)-MIN(ROW('03.Muestra'!$D$8:$D$42))+1,""),ROW()-132)),"")</f>
        <v>https://www.comunidad.madrid/tacp/novedades/publicacion-recursos-especiales-en-perfil-contratante</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https://www.comunidad.madrid/tacp/aviso-legal</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https://www.comunidad.madrid/tacp/accesibilidad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Mapa Web</v>
      </c>
      <c r="C140" s="85" t="str" cm="1">
        <f t="array" ref="C140">IFERROR(INDEX('03.Muestra'!$F$8:$F$42,SMALL(IF("Página Web"='03.Muestra'!$D$8:$D$42,ROW('03.Muestra'!$F$8:$F$42)-MIN(ROW('03.Muestra'!$D$8:$D$42))+1,""),ROW()-132)),"")</f>
        <v>https://www.comunidad.madrid/tacp/sitemap</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ref="D141:D167" si="7">IF(AND(B141&lt;&gt;"",C141&lt;&gt;""),"N/T","")</f>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https://www.comunidad.madrid/tacp</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Presentación electrónica</v>
      </c>
      <c r="C172" s="85" t="str" cm="1">
        <f t="array" ref="C172">IFERROR(INDEX('03.Muestra'!$F$8:$F$42,SMALL(IF("Página Web"='03.Muestra'!$D$8:$D$42,ROW('03.Muestra'!$F$8:$F$42)-MIN(ROW('03.Muestra'!$D$8:$D$42))+1,""),ROW()-170)),"")</f>
        <v>https://www.comunidad.madrid/tacp/el-tribunal/presentacion-electronica-e-impresos-normalizados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8</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Memorias</v>
      </c>
      <c r="C173" s="85" t="str" cm="1">
        <f t="array" ref="C173">IFERROR(INDEX('03.Muestra'!$F$8:$F$42,SMALL(IF("Página Web"='03.Muestra'!$D$8:$D$42,ROW('03.Muestra'!$F$8:$F$42)-MIN(ROW('03.Muestra'!$D$8:$D$42))+1,""),ROW()-170)),"")</f>
        <v>https://www.comunidad.madrid/tacp/memorias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Buscador de resoluciones</v>
      </c>
      <c r="C174" s="85" t="str" cm="1">
        <f t="array" ref="C174">IFERROR(INDEX('03.Muestra'!$F$8:$F$42,SMALL(IF("Página Web"='03.Muestra'!$D$8:$D$42,ROW('03.Muestra'!$F$8:$F$42)-MIN(ROW('03.Muestra'!$D$8:$D$42))+1,""),ROW()-170)),"")</f>
        <v>https://www.comunidad.madrid/tacp/busquedaresoluciones</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Novedades</v>
      </c>
      <c r="C175" s="85" t="str" cm="1">
        <f t="array" ref="C175">IFERROR(INDEX('03.Muestra'!$F$8:$F$42,SMALL(IF("Página Web"='03.Muestra'!$D$8:$D$42,ROW('03.Muestra'!$F$8:$F$42)-MIN(ROW('03.Muestra'!$D$8:$D$42))+1,""),ROW()-170)),"")</f>
        <v>https://www.comunidad.madrid/tacp/novedades/publicacion-recursos-especiales-en-perfil-contratante</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https://www.comunidad.madrid/tacp/aviso-legal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https://www.comunidad.madrid/tacp/accesibilidad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Mapa Web</v>
      </c>
      <c r="C178" s="85" t="str" cm="1">
        <f t="array" ref="C178">IFERROR(INDEX('03.Muestra'!$F$8:$F$42,SMALL(IF("Página Web"='03.Muestra'!$D$8:$D$42,ROW('03.Muestra'!$F$8:$F$42)-MIN(ROW('03.Muestra'!$D$8:$D$42))+1,""),ROW()-170)),"")</f>
        <v>https://www.comunidad.madrid/tacp/sitemap</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ref="D179:D205" si="9">IF(AND(B179&lt;&gt;"",C179&lt;&gt;""),"N/T","")</f>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https://www.comunidad.madrid/tacp</v>
      </c>
      <c r="D209" s="99" t="s">
        <v>92</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Presentación electrónica</v>
      </c>
      <c r="C210" s="85" t="str" cm="1">
        <f t="array" ref="C210">IFERROR(INDEX('03.Muestra'!$F$8:$F$42,SMALL(IF("Página Web"='03.Muestra'!$D$8:$D$42,ROW('03.Muestra'!$F$8:$F$42)-MIN(ROW('03.Muestra'!$D$8:$D$42))+1,""),ROW()-208)),"")</f>
        <v>https://www.comunidad.madrid/tacp/el-tribunal/presentacion-electronica-e-impresos-normalizados</v>
      </c>
      <c r="D210" s="99" t="s">
        <v>92</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1</v>
      </c>
      <c r="J210" s="91">
        <f ca="1">COUNTIF($D209:INDIRECT("$D" &amp;  SUM(ROW()-1,'03.Muestra'!$D$45)-1),J209)</f>
        <v>7</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Memorias</v>
      </c>
      <c r="C211" s="85" t="str" cm="1">
        <f t="array" ref="C211">IFERROR(INDEX('03.Muestra'!$F$8:$F$42,SMALL(IF("Página Web"='03.Muestra'!$D$8:$D$42,ROW('03.Muestra'!$F$8:$F$42)-MIN(ROW('03.Muestra'!$D$8:$D$42))+1,""),ROW()-208)),"")</f>
        <v>https://www.comunidad.madrid/tacp/memorias</v>
      </c>
      <c r="D211" s="99" t="s">
        <v>92</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Buscador de resoluciones</v>
      </c>
      <c r="C212" s="85" t="str" cm="1">
        <f t="array" ref="C212">IFERROR(INDEX('03.Muestra'!$F$8:$F$42,SMALL(IF("Página Web"='03.Muestra'!$D$8:$D$42,ROW('03.Muestra'!$F$8:$F$42)-MIN(ROW('03.Muestra'!$D$8:$D$42))+1,""),ROW()-208)),"")</f>
        <v>https://www.comunidad.madrid/tacp/busquedaresoluciones</v>
      </c>
      <c r="D212" s="99" t="s">
        <v>92</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Novedades</v>
      </c>
      <c r="C213" s="85" t="str" cm="1">
        <f t="array" ref="C213">IFERROR(INDEX('03.Muestra'!$F$8:$F$42,SMALL(IF("Página Web"='03.Muestra'!$D$8:$D$42,ROW('03.Muestra'!$F$8:$F$42)-MIN(ROW('03.Muestra'!$D$8:$D$42))+1,""),ROW()-208)),"")</f>
        <v>https://www.comunidad.madrid/tacp/novedades/publicacion-recursos-especiales-en-perfil-contratante</v>
      </c>
      <c r="D213" s="99" t="s">
        <v>92</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https://www.comunidad.madrid/tacp/aviso-legal</v>
      </c>
      <c r="D214" s="99" t="s">
        <v>92</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https://www.comunidad.madrid/tacp/accesibilidad</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Mapa Web</v>
      </c>
      <c r="C216" s="85" t="str" cm="1">
        <f t="array" ref="C216">IFERROR(INDEX('03.Muestra'!$F$8:$F$42,SMALL(IF("Página Web"='03.Muestra'!$D$8:$D$42,ROW('03.Muestra'!$F$8:$F$42)-MIN(ROW('03.Muestra'!$D$8:$D$42))+1,""),ROW()-208)),"")</f>
        <v>https://www.comunidad.madrid/tacp/sitemap</v>
      </c>
      <c r="D216" s="99" t="s">
        <v>92</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ref="D217:D243" si="11">IF(AND(B217&lt;&gt;"",C217&lt;&gt;""),"N/T","")</f>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https://www.comunidad.madrid/tacp</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Presentación electrónica</v>
      </c>
      <c r="C248" s="85" t="str" cm="1">
        <f t="array" ref="C248">IFERROR(INDEX('03.Muestra'!$F$8:$F$42,SMALL(IF("Página Web"='03.Muestra'!$D$8:$D$42,ROW('03.Muestra'!$F$8:$F$42)-MIN(ROW('03.Muestra'!$D$8:$D$42))+1,""),ROW()-246)),"")</f>
        <v>https://www.comunidad.madrid/tacp/el-tribunal/presentacion-electronica-e-impresos-normalizados</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6</v>
      </c>
      <c r="J248" s="91">
        <f ca="1">COUNTIF($D247:INDIRECT("$D" &amp;  SUM(ROW()-1,'03.Muestra'!$D$45)-1),J247)</f>
        <v>2</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Memorias</v>
      </c>
      <c r="C249" s="85" t="str" cm="1">
        <f t="array" ref="C249">IFERROR(INDEX('03.Muestra'!$F$8:$F$42,SMALL(IF("Página Web"='03.Muestra'!$D$8:$D$42,ROW('03.Muestra'!$F$8:$F$42)-MIN(ROW('03.Muestra'!$D$8:$D$42))+1,""),ROW()-246)),"")</f>
        <v>https://www.comunidad.madrid/tacp/memorias</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Buscador de resoluciones</v>
      </c>
      <c r="C250" s="85" t="str" cm="1">
        <f t="array" ref="C250">IFERROR(INDEX('03.Muestra'!$F$8:$F$42,SMALL(IF("Página Web"='03.Muestra'!$D$8:$D$42,ROW('03.Muestra'!$F$8:$F$42)-MIN(ROW('03.Muestra'!$D$8:$D$42))+1,""),ROW()-246)),"")</f>
        <v>https://www.comunidad.madrid/tacp/busquedaresoluciones</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Novedades</v>
      </c>
      <c r="C251" s="85" t="str" cm="1">
        <f t="array" ref="C251">IFERROR(INDEX('03.Muestra'!$F$8:$F$42,SMALL(IF("Página Web"='03.Muestra'!$D$8:$D$42,ROW('03.Muestra'!$F$8:$F$42)-MIN(ROW('03.Muestra'!$D$8:$D$42))+1,""),ROW()-246)),"")</f>
        <v>https://www.comunidad.madrid/tacp/novedades/publicacion-recursos-especiales-en-perfil-contratante</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https://www.comunidad.madrid/tacp/aviso-legal</v>
      </c>
      <c r="D252" s="99" t="s">
        <v>92</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https://www.comunidad.madrid/tacp/accesibilidad</v>
      </c>
      <c r="D253" s="99" t="s">
        <v>92</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Mapa Web</v>
      </c>
      <c r="C254" s="85" t="str" cm="1">
        <f t="array" ref="C254">IFERROR(INDEX('03.Muestra'!$F$8:$F$42,SMALL(IF("Página Web"='03.Muestra'!$D$8:$D$42,ROW('03.Muestra'!$F$8:$F$42)-MIN(ROW('03.Muestra'!$D$8:$D$42))+1,""),ROW()-246)),"")</f>
        <v>https://www.comunidad.madrid/tacp/sitemap</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ref="D255:D281" si="13">IF(AND(B255&lt;&gt;"",C255&lt;&gt;""),"N/T","")</f>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https://www.comunidad.madrid/tacp</v>
      </c>
      <c r="D285" s="99" t="s">
        <v>92</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Presentación electrónica</v>
      </c>
      <c r="C286" s="85" t="str" cm="1">
        <f t="array" ref="C286">IFERROR(INDEX('03.Muestra'!$F$8:$F$42,SMALL(IF("Página Web"='03.Muestra'!$D$8:$D$42,ROW('03.Muestra'!$F$8:$F$42)-MIN(ROW('03.Muestra'!$D$8:$D$42))+1,""),ROW()-284)),"")</f>
        <v>https://www.comunidad.madrid/tacp/el-tribunal/presentacion-electronica-e-impresos-normalizados</v>
      </c>
      <c r="D286" s="99" t="s">
        <v>92</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1</v>
      </c>
      <c r="J286" s="91">
        <f ca="1">COUNTIF($D285:INDIRECT("$D" &amp;  SUM(ROW()-1,'03.Muestra'!$D$45)-1),J285)</f>
        <v>7</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Memorias</v>
      </c>
      <c r="C287" s="85" t="str" cm="1">
        <f t="array" ref="C287">IFERROR(INDEX('03.Muestra'!$F$8:$F$42,SMALL(IF("Página Web"='03.Muestra'!$D$8:$D$42,ROW('03.Muestra'!$F$8:$F$42)-MIN(ROW('03.Muestra'!$D$8:$D$42))+1,""),ROW()-284)),"")</f>
        <v>https://www.comunidad.madrid/tacp/memorias</v>
      </c>
      <c r="D287" s="99" t="s">
        <v>92</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Buscador de resoluciones</v>
      </c>
      <c r="C288" s="85" t="str" cm="1">
        <f t="array" ref="C288">IFERROR(INDEX('03.Muestra'!$F$8:$F$42,SMALL(IF("Página Web"='03.Muestra'!$D$8:$D$42,ROW('03.Muestra'!$F$8:$F$42)-MIN(ROW('03.Muestra'!$D$8:$D$42))+1,""),ROW()-284)),"")</f>
        <v>https://www.comunidad.madrid/tacp/busquedaresoluciones</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Novedades</v>
      </c>
      <c r="C289" s="85" t="str" cm="1">
        <f t="array" ref="C289">IFERROR(INDEX('03.Muestra'!$F$8:$F$42,SMALL(IF("Página Web"='03.Muestra'!$D$8:$D$42,ROW('03.Muestra'!$F$8:$F$42)-MIN(ROW('03.Muestra'!$D$8:$D$42))+1,""),ROW()-284)),"")</f>
        <v>https://www.comunidad.madrid/tacp/novedades/publicacion-recursos-especiales-en-perfil-contratante</v>
      </c>
      <c r="D289" s="99" t="s">
        <v>92</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https://www.comunidad.madrid/tacp/aviso-legal</v>
      </c>
      <c r="D290" s="99" t="s">
        <v>92</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https://www.comunidad.madrid/tacp/accesibilidad</v>
      </c>
      <c r="D291" s="99" t="s">
        <v>92</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Mapa Web</v>
      </c>
      <c r="C292" s="85" t="str" cm="1">
        <f t="array" ref="C292">IFERROR(INDEX('03.Muestra'!$F$8:$F$42,SMALL(IF("Página Web"='03.Muestra'!$D$8:$D$42,ROW('03.Muestra'!$F$8:$F$42)-MIN(ROW('03.Muestra'!$D$8:$D$42))+1,""),ROW()-284)),"")</f>
        <v>https://www.comunidad.madrid/tacp/sitemap</v>
      </c>
      <c r="D292" s="99" t="s">
        <v>92</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ref="D293:D319" si="15">IF(AND(B293&lt;&gt;"",C293&lt;&gt;""),"N/T","")</f>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https://www.comunidad.madrid/tacp</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Presentación electrónica</v>
      </c>
      <c r="C324" s="85" t="str" cm="1">
        <f t="array" ref="C324">IFERROR(INDEX('03.Muestra'!$F$8:$F$42,SMALL(IF("Página Web"='03.Muestra'!$D$8:$D$42,ROW('03.Muestra'!$F$8:$F$42)-MIN(ROW('03.Muestra'!$D$8:$D$42))+1,""),ROW()-322)),"")</f>
        <v>https://www.comunidad.madrid/tacp/el-tribunal/presentacion-electronica-e-impresos-normalizados</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8</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Memorias</v>
      </c>
      <c r="C325" s="85" t="str" cm="1">
        <f t="array" ref="C325">IFERROR(INDEX('03.Muestra'!$F$8:$F$42,SMALL(IF("Página Web"='03.Muestra'!$D$8:$D$42,ROW('03.Muestra'!$F$8:$F$42)-MIN(ROW('03.Muestra'!$D$8:$D$42))+1,""),ROW()-322)),"")</f>
        <v>https://www.comunidad.madrid/tacp/memorias</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Buscador de resoluciones</v>
      </c>
      <c r="C326" s="85" t="str" cm="1">
        <f t="array" ref="C326">IFERROR(INDEX('03.Muestra'!$F$8:$F$42,SMALL(IF("Página Web"='03.Muestra'!$D$8:$D$42,ROW('03.Muestra'!$F$8:$F$42)-MIN(ROW('03.Muestra'!$D$8:$D$42))+1,""),ROW()-322)),"")</f>
        <v>https://www.comunidad.madrid/tacp/busquedaresoluciones</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Novedades</v>
      </c>
      <c r="C327" s="85" t="str" cm="1">
        <f t="array" ref="C327">IFERROR(INDEX('03.Muestra'!$F$8:$F$42,SMALL(IF("Página Web"='03.Muestra'!$D$8:$D$42,ROW('03.Muestra'!$F$8:$F$42)-MIN(ROW('03.Muestra'!$D$8:$D$42))+1,""),ROW()-322)),"")</f>
        <v>https://www.comunidad.madrid/tacp/novedades/publicacion-recursos-especiales-en-perfil-contratante</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https://www.comunidad.madrid/tacp/aviso-legal</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https://www.comunidad.madrid/tacp/accesibilidad</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Mapa Web</v>
      </c>
      <c r="C330" s="85" t="str" cm="1">
        <f t="array" ref="C330">IFERROR(INDEX('03.Muestra'!$F$8:$F$42,SMALL(IF("Página Web"='03.Muestra'!$D$8:$D$42,ROW('03.Muestra'!$F$8:$F$42)-MIN(ROW('03.Muestra'!$D$8:$D$42))+1,""),ROW()-322)),"")</f>
        <v>https://www.comunidad.madrid/tacp/sitemap</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ref="D331:D357" si="17">IF(AND(B331&lt;&gt;"",C331&lt;&gt;""),"N/T","")</f>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https://www.comunidad.madrid/tacp</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Presentación electrónica</v>
      </c>
      <c r="C362" s="85" t="str" cm="1">
        <f t="array" ref="C362">IFERROR(INDEX('03.Muestra'!$F$8:$F$42,SMALL(IF("Página Web"='03.Muestra'!$D$8:$D$42,ROW('03.Muestra'!$F$8:$F$42)-MIN(ROW('03.Muestra'!$D$8:$D$42))+1,""),ROW()-360)),"")</f>
        <v>https://www.comunidad.madrid/tacp/el-tribunal/presentacion-electronica-e-impresos-normalizados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8</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Memorias</v>
      </c>
      <c r="C363" s="85" t="str" cm="1">
        <f t="array" ref="C363">IFERROR(INDEX('03.Muestra'!$F$8:$F$42,SMALL(IF("Página Web"='03.Muestra'!$D$8:$D$42,ROW('03.Muestra'!$F$8:$F$42)-MIN(ROW('03.Muestra'!$D$8:$D$42))+1,""),ROW()-360)),"")</f>
        <v>https://www.comunidad.madrid/tacp/memorias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Buscador de resoluciones</v>
      </c>
      <c r="C364" s="85" t="str" cm="1">
        <f t="array" ref="C364">IFERROR(INDEX('03.Muestra'!$F$8:$F$42,SMALL(IF("Página Web"='03.Muestra'!$D$8:$D$42,ROW('03.Muestra'!$F$8:$F$42)-MIN(ROW('03.Muestra'!$D$8:$D$42))+1,""),ROW()-360)),"")</f>
        <v>https://www.comunidad.madrid/tacp/busquedaresoluciones</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Novedades</v>
      </c>
      <c r="C365" s="85" t="str" cm="1">
        <f t="array" ref="C365">IFERROR(INDEX('03.Muestra'!$F$8:$F$42,SMALL(IF("Página Web"='03.Muestra'!$D$8:$D$42,ROW('03.Muestra'!$F$8:$F$42)-MIN(ROW('03.Muestra'!$D$8:$D$42))+1,""),ROW()-360)),"")</f>
        <v>https://www.comunidad.madrid/tacp/novedades/publicacion-recursos-especiales-en-perfil-contratante</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Aviso Legal</v>
      </c>
      <c r="C366" s="85" t="str" cm="1">
        <f t="array" ref="C366">IFERROR(INDEX('03.Muestra'!$F$8:$F$42,SMALL(IF("Página Web"='03.Muestra'!$D$8:$D$42,ROW('03.Muestra'!$F$8:$F$42)-MIN(ROW('03.Muestra'!$D$8:$D$42))+1,""),ROW()-360)),"")</f>
        <v>https://www.comunidad.madrid/tacp/aviso-legal</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Accesibilidad</v>
      </c>
      <c r="C367" s="85" t="str" cm="1">
        <f t="array" ref="C367">IFERROR(INDEX('03.Muestra'!$F$8:$F$42,SMALL(IF("Página Web"='03.Muestra'!$D$8:$D$42,ROW('03.Muestra'!$F$8:$F$42)-MIN(ROW('03.Muestra'!$D$8:$D$42))+1,""),ROW()-360)),"")</f>
        <v>https://www.comunidad.madrid/tacp/accesibilidad</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Mapa Web</v>
      </c>
      <c r="C368" s="85" t="str" cm="1">
        <f t="array" ref="C368">IFERROR(INDEX('03.Muestra'!$F$8:$F$42,SMALL(IF("Página Web"='03.Muestra'!$D$8:$D$42,ROW('03.Muestra'!$F$8:$F$42)-MIN(ROW('03.Muestra'!$D$8:$D$42))+1,""),ROW()-360)),"")</f>
        <v>https://www.comunidad.madrid/tacp/sitemap</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ref="D369:D395" si="19">IF(AND(B369&lt;&gt;"",C369&lt;&gt;""),"N/T","")</f>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https://www.comunidad.madrid/tacp</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Presentación electrónica</v>
      </c>
      <c r="C400" s="85" t="str" cm="1">
        <f t="array" ref="C400">IFERROR(INDEX('03.Muestra'!$F$8:$F$42,SMALL(IF("Página Web"='03.Muestra'!$D$8:$D$42,ROW('03.Muestra'!$F$8:$F$42)-MIN(ROW('03.Muestra'!$D$8:$D$42))+1,""),ROW()-398)),"")</f>
        <v>https://www.comunidad.madrid/tacp/el-tribunal/presentacion-electronica-e-impresos-normalizados</v>
      </c>
      <c r="D400" s="99" t="s">
        <v>92</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8</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Memorias</v>
      </c>
      <c r="C401" s="85" t="str" cm="1">
        <f t="array" ref="C401">IFERROR(INDEX('03.Muestra'!$F$8:$F$42,SMALL(IF("Página Web"='03.Muestra'!$D$8:$D$42,ROW('03.Muestra'!$F$8:$F$42)-MIN(ROW('03.Muestra'!$D$8:$D$42))+1,""),ROW()-398)),"")</f>
        <v>https://www.comunidad.madrid/tacp/memorias</v>
      </c>
      <c r="D401" s="99" t="s">
        <v>92</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Buscador de resoluciones</v>
      </c>
      <c r="C402" s="85" t="str" cm="1">
        <f t="array" ref="C402">IFERROR(INDEX('03.Muestra'!$F$8:$F$42,SMALL(IF("Página Web"='03.Muestra'!$D$8:$D$42,ROW('03.Muestra'!$F$8:$F$42)-MIN(ROW('03.Muestra'!$D$8:$D$42))+1,""),ROW()-398)),"")</f>
        <v>https://www.comunidad.madrid/tacp/busquedaresoluciones</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Novedades</v>
      </c>
      <c r="C403" s="85" t="str" cm="1">
        <f t="array" ref="C403">IFERROR(INDEX('03.Muestra'!$F$8:$F$42,SMALL(IF("Página Web"='03.Muestra'!$D$8:$D$42,ROW('03.Muestra'!$F$8:$F$42)-MIN(ROW('03.Muestra'!$D$8:$D$42))+1,""),ROW()-398)),"")</f>
        <v>https://www.comunidad.madrid/tacp/novedades/publicacion-recursos-especiales-en-perfil-contratante</v>
      </c>
      <c r="D403" s="99" t="s">
        <v>92</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Aviso Legal</v>
      </c>
      <c r="C404" s="85" t="str" cm="1">
        <f t="array" ref="C404">IFERROR(INDEX('03.Muestra'!$F$8:$F$42,SMALL(IF("Página Web"='03.Muestra'!$D$8:$D$42,ROW('03.Muestra'!$F$8:$F$42)-MIN(ROW('03.Muestra'!$D$8:$D$42))+1,""),ROW()-398)),"")</f>
        <v>https://www.comunidad.madrid/tacp/aviso-legal</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Accesibilidad</v>
      </c>
      <c r="C405" s="85" t="str" cm="1">
        <f t="array" ref="C405">IFERROR(INDEX('03.Muestra'!$F$8:$F$42,SMALL(IF("Página Web"='03.Muestra'!$D$8:$D$42,ROW('03.Muestra'!$F$8:$F$42)-MIN(ROW('03.Muestra'!$D$8:$D$42))+1,""),ROW()-398)),"")</f>
        <v>https://www.comunidad.madrid/tacp/accesibilidad</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Mapa Web</v>
      </c>
      <c r="C406" s="85" t="str" cm="1">
        <f t="array" ref="C406">IFERROR(INDEX('03.Muestra'!$F$8:$F$42,SMALL(IF("Página Web"='03.Muestra'!$D$8:$D$42,ROW('03.Muestra'!$F$8:$F$42)-MIN(ROW('03.Muestra'!$D$8:$D$42))+1,""),ROW()-398)),"")</f>
        <v>https://www.comunidad.madrid/tacp/sitemap</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ref="D407:D433" si="21">IF(AND(B407&lt;&gt;"",C407&lt;&gt;""),"N/T","")</f>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https://www.comunidad.madrid/tacp</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Presentación electrónica</v>
      </c>
      <c r="C438" s="85" t="str" cm="1">
        <f t="array" ref="C438">IFERROR(INDEX('03.Muestra'!$F$8:$F$42,SMALL(IF("Página Web"='03.Muestra'!$D$8:$D$42,ROW('03.Muestra'!$F$8:$F$42)-MIN(ROW('03.Muestra'!$D$8:$D$42))+1,""),ROW()-436)),"")</f>
        <v>https://www.comunidad.madrid/tacp/el-tribunal/presentacion-electronica-e-impresos-normalizados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8</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Memorias</v>
      </c>
      <c r="C439" s="85" t="str" cm="1">
        <f t="array" ref="C439">IFERROR(INDEX('03.Muestra'!$F$8:$F$42,SMALL(IF("Página Web"='03.Muestra'!$D$8:$D$42,ROW('03.Muestra'!$F$8:$F$42)-MIN(ROW('03.Muestra'!$D$8:$D$42))+1,""),ROW()-436)),"")</f>
        <v>https://www.comunidad.madrid/tacp/memorias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Buscador de resoluciones</v>
      </c>
      <c r="C440" s="85" t="str" cm="1">
        <f t="array" ref="C440">IFERROR(INDEX('03.Muestra'!$F$8:$F$42,SMALL(IF("Página Web"='03.Muestra'!$D$8:$D$42,ROW('03.Muestra'!$F$8:$F$42)-MIN(ROW('03.Muestra'!$D$8:$D$42))+1,""),ROW()-436)),"")</f>
        <v>https://www.comunidad.madrid/tacp/busquedaresoluciones</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Novedades</v>
      </c>
      <c r="C441" s="85" t="str" cm="1">
        <f t="array" ref="C441">IFERROR(INDEX('03.Muestra'!$F$8:$F$42,SMALL(IF("Página Web"='03.Muestra'!$D$8:$D$42,ROW('03.Muestra'!$F$8:$F$42)-MIN(ROW('03.Muestra'!$D$8:$D$42))+1,""),ROW()-436)),"")</f>
        <v>https://www.comunidad.madrid/tacp/novedades/publicacion-recursos-especiales-en-perfil-contratante</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Aviso Legal</v>
      </c>
      <c r="C442" s="85" t="str" cm="1">
        <f t="array" ref="C442">IFERROR(INDEX('03.Muestra'!$F$8:$F$42,SMALL(IF("Página Web"='03.Muestra'!$D$8:$D$42,ROW('03.Muestra'!$F$8:$F$42)-MIN(ROW('03.Muestra'!$D$8:$D$42))+1,""),ROW()-436)),"")</f>
        <v>https://www.comunidad.madrid/tacp/aviso-legal</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Accesibilidad</v>
      </c>
      <c r="C443" s="85" t="str" cm="1">
        <f t="array" ref="C443">IFERROR(INDEX('03.Muestra'!$F$8:$F$42,SMALL(IF("Página Web"='03.Muestra'!$D$8:$D$42,ROW('03.Muestra'!$F$8:$F$42)-MIN(ROW('03.Muestra'!$D$8:$D$42))+1,""),ROW()-436)),"")</f>
        <v>https://www.comunidad.madrid/tacp/accesibilidad</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Mapa Web</v>
      </c>
      <c r="C444" s="85" t="str" cm="1">
        <f t="array" ref="C444">IFERROR(INDEX('03.Muestra'!$F$8:$F$42,SMALL(IF("Página Web"='03.Muestra'!$D$8:$D$42,ROW('03.Muestra'!$F$8:$F$42)-MIN(ROW('03.Muestra'!$D$8:$D$42))+1,""),ROW()-436)),"")</f>
        <v>https://www.comunidad.madrid/tacp/sitemap</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ref="D445:D471" si="23">IF(AND(B445&lt;&gt;"",C445&lt;&gt;""),"N/T","")</f>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https://www.comunidad.madrid/tacp</v>
      </c>
      <c r="D475" s="99" t="s">
        <v>94</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Presentación electrónica</v>
      </c>
      <c r="C476" s="85" t="str" cm="1">
        <f t="array" ref="C476">IFERROR(INDEX('03.Muestra'!$F$8:$F$42,SMALL(IF("Página Web"='03.Muestra'!$D$8:$D$42,ROW('03.Muestra'!$F$8:$F$42)-MIN(ROW('03.Muestra'!$D$8:$D$42))+1,""),ROW()-474)),"")</f>
        <v>https://www.comunidad.madrid/tacp/el-tribunal/presentacion-electronica-e-impresos-normalizados</v>
      </c>
      <c r="D476" s="99" t="s">
        <v>94</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6</v>
      </c>
      <c r="J476" s="91">
        <f ca="1">COUNTIF($D475:INDIRECT("$D" &amp;  SUM(ROW()-1,'03.Muestra'!$D$45)-1),J475)</f>
        <v>2</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Memorias</v>
      </c>
      <c r="C477" s="85" t="str" cm="1">
        <f t="array" ref="C477">IFERROR(INDEX('03.Muestra'!$F$8:$F$42,SMALL(IF("Página Web"='03.Muestra'!$D$8:$D$42,ROW('03.Muestra'!$F$8:$F$42)-MIN(ROW('03.Muestra'!$D$8:$D$42))+1,""),ROW()-474)),"")</f>
        <v>https://www.comunidad.madrid/tacp/memorias</v>
      </c>
      <c r="D477" s="99" t="s">
        <v>94</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Buscador de resoluciones</v>
      </c>
      <c r="C478" s="85" t="str" cm="1">
        <f t="array" ref="C478">IFERROR(INDEX('03.Muestra'!$F$8:$F$42,SMALL(IF("Página Web"='03.Muestra'!$D$8:$D$42,ROW('03.Muestra'!$F$8:$F$42)-MIN(ROW('03.Muestra'!$D$8:$D$42))+1,""),ROW()-474)),"")</f>
        <v>https://www.comunidad.madrid/tacp/busquedaresoluciones</v>
      </c>
      <c r="D478" s="99" t="s">
        <v>94</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Novedades</v>
      </c>
      <c r="C479" s="85" t="str" cm="1">
        <f t="array" ref="C479">IFERROR(INDEX('03.Muestra'!$F$8:$F$42,SMALL(IF("Página Web"='03.Muestra'!$D$8:$D$42,ROW('03.Muestra'!$F$8:$F$42)-MIN(ROW('03.Muestra'!$D$8:$D$42))+1,""),ROW()-474)),"")</f>
        <v>https://www.comunidad.madrid/tacp/novedades/publicacion-recursos-especiales-en-perfil-contratante</v>
      </c>
      <c r="D479" s="99" t="s">
        <v>94</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Aviso Legal</v>
      </c>
      <c r="C480" s="85" t="str" cm="1">
        <f t="array" ref="C480">IFERROR(INDEX('03.Muestra'!$F$8:$F$42,SMALL(IF("Página Web"='03.Muestra'!$D$8:$D$42,ROW('03.Muestra'!$F$8:$F$42)-MIN(ROW('03.Muestra'!$D$8:$D$42))+1,""),ROW()-474)),"")</f>
        <v>https://www.comunidad.madrid/tacp/aviso-legal</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Accesibilidad</v>
      </c>
      <c r="C481" s="85" t="str" cm="1">
        <f t="array" ref="C481">IFERROR(INDEX('03.Muestra'!$F$8:$F$42,SMALL(IF("Página Web"='03.Muestra'!$D$8:$D$42,ROW('03.Muestra'!$F$8:$F$42)-MIN(ROW('03.Muestra'!$D$8:$D$42))+1,""),ROW()-474)),"")</f>
        <v>https://www.comunidad.madrid/tacp/accesibilidad</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Mapa Web</v>
      </c>
      <c r="C482" s="85" t="str" cm="1">
        <f t="array" ref="C482">IFERROR(INDEX('03.Muestra'!$F$8:$F$42,SMALL(IF("Página Web"='03.Muestra'!$D$8:$D$42,ROW('03.Muestra'!$F$8:$F$42)-MIN(ROW('03.Muestra'!$D$8:$D$42))+1,""),ROW()-474)),"")</f>
        <v>https://www.comunidad.madrid/tacp/sitemap</v>
      </c>
      <c r="D482" s="99" t="s">
        <v>94</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ref="D483:D509" si="25">IF(AND(B483&lt;&gt;"",C483&lt;&gt;""),"N/T","")</f>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https://www.comunidad.madrid/tacp</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Presentación electrónica</v>
      </c>
      <c r="C514" s="85" t="str" cm="1">
        <f t="array" ref="C514">IFERROR(INDEX('03.Muestra'!$F$8:$F$42,SMALL(IF("Página Web"='03.Muestra'!$D$8:$D$42,ROW('03.Muestra'!$F$8:$F$42)-MIN(ROW('03.Muestra'!$D$8:$D$42))+1,""),ROW()-512)),"")</f>
        <v>https://www.comunidad.madrid/tacp/el-tribunal/presentacion-electronica-e-impresos-normalizados</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8</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Memorias</v>
      </c>
      <c r="C515" s="85" t="str" cm="1">
        <f t="array" ref="C515">IFERROR(INDEX('03.Muestra'!$F$8:$F$42,SMALL(IF("Página Web"='03.Muestra'!$D$8:$D$42,ROW('03.Muestra'!$F$8:$F$42)-MIN(ROW('03.Muestra'!$D$8:$D$42))+1,""),ROW()-512)),"")</f>
        <v>https://www.comunidad.madrid/tacp/memorias</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Buscador de resoluciones</v>
      </c>
      <c r="C516" s="85" t="str" cm="1">
        <f t="array" ref="C516">IFERROR(INDEX('03.Muestra'!$F$8:$F$42,SMALL(IF("Página Web"='03.Muestra'!$D$8:$D$42,ROW('03.Muestra'!$F$8:$F$42)-MIN(ROW('03.Muestra'!$D$8:$D$42))+1,""),ROW()-512)),"")</f>
        <v>https://www.comunidad.madrid/tacp/busquedaresoluciones</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Novedades</v>
      </c>
      <c r="C517" s="85" t="str" cm="1">
        <f t="array" ref="C517">IFERROR(INDEX('03.Muestra'!$F$8:$F$42,SMALL(IF("Página Web"='03.Muestra'!$D$8:$D$42,ROW('03.Muestra'!$F$8:$F$42)-MIN(ROW('03.Muestra'!$D$8:$D$42))+1,""),ROW()-512)),"")</f>
        <v>https://www.comunidad.madrid/tacp/novedades/publicacion-recursos-especiales-en-perfil-contratante</v>
      </c>
      <c r="D517" s="99" t="s">
        <v>92</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Aviso Legal</v>
      </c>
      <c r="C518" s="85" t="str" cm="1">
        <f t="array" ref="C518">IFERROR(INDEX('03.Muestra'!$F$8:$F$42,SMALL(IF("Página Web"='03.Muestra'!$D$8:$D$42,ROW('03.Muestra'!$F$8:$F$42)-MIN(ROW('03.Muestra'!$D$8:$D$42))+1,""),ROW()-512)),"")</f>
        <v>https://www.comunidad.madrid/tacp/aviso-legal</v>
      </c>
      <c r="D518" s="99" t="s">
        <v>92</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Accesibilidad</v>
      </c>
      <c r="C519" s="85" t="str" cm="1">
        <f t="array" ref="C519">IFERROR(INDEX('03.Muestra'!$F$8:$F$42,SMALL(IF("Página Web"='03.Muestra'!$D$8:$D$42,ROW('03.Muestra'!$F$8:$F$42)-MIN(ROW('03.Muestra'!$D$8:$D$42))+1,""),ROW()-512)),"")</f>
        <v>https://www.comunidad.madrid/tacp/accesibilidad</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Mapa Web</v>
      </c>
      <c r="C520" s="85" t="str" cm="1">
        <f t="array" ref="C520">IFERROR(INDEX('03.Muestra'!$F$8:$F$42,SMALL(IF("Página Web"='03.Muestra'!$D$8:$D$42,ROW('03.Muestra'!$F$8:$F$42)-MIN(ROW('03.Muestra'!$D$8:$D$42))+1,""),ROW()-512)),"")</f>
        <v>https://www.comunidad.madrid/tacp/sitemap</v>
      </c>
      <c r="D520" s="99" t="s">
        <v>92</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ref="D521:D547" si="27">IF(AND(B521&lt;&gt;"",C521&lt;&gt;""),"N/T","")</f>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https://www.comunidad.madrid/tacp</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Presentación electrónica</v>
      </c>
      <c r="C552" s="85" t="str" cm="1">
        <f t="array" ref="C552">IFERROR(INDEX('03.Muestra'!$F$8:$F$42,SMALL(IF("Página Web"='03.Muestra'!$D$8:$D$42,ROW('03.Muestra'!$F$8:$F$42)-MIN(ROW('03.Muestra'!$D$8:$D$42))+1,""),ROW()-550)),"")</f>
        <v>https://www.comunidad.madrid/tacp/el-tribunal/presentacion-electronica-e-impresos-normalizados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8</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Memorias</v>
      </c>
      <c r="C553" s="85" t="str" cm="1">
        <f t="array" ref="C553">IFERROR(INDEX('03.Muestra'!$F$8:$F$42,SMALL(IF("Página Web"='03.Muestra'!$D$8:$D$42,ROW('03.Muestra'!$F$8:$F$42)-MIN(ROW('03.Muestra'!$D$8:$D$42))+1,""),ROW()-550)),"")</f>
        <v>https://www.comunidad.madrid/tacp/memorias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Buscador de resoluciones</v>
      </c>
      <c r="C554" s="85" t="str" cm="1">
        <f t="array" ref="C554">IFERROR(INDEX('03.Muestra'!$F$8:$F$42,SMALL(IF("Página Web"='03.Muestra'!$D$8:$D$42,ROW('03.Muestra'!$F$8:$F$42)-MIN(ROW('03.Muestra'!$D$8:$D$42))+1,""),ROW()-550)),"")</f>
        <v>https://www.comunidad.madrid/tacp/busquedaresoluciones</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Novedades</v>
      </c>
      <c r="C555" s="85" t="str" cm="1">
        <f t="array" ref="C555">IFERROR(INDEX('03.Muestra'!$F$8:$F$42,SMALL(IF("Página Web"='03.Muestra'!$D$8:$D$42,ROW('03.Muestra'!$F$8:$F$42)-MIN(ROW('03.Muestra'!$D$8:$D$42))+1,""),ROW()-550)),"")</f>
        <v>https://www.comunidad.madrid/tacp/novedades/publicacion-recursos-especiales-en-perfil-contratante</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Aviso Legal</v>
      </c>
      <c r="C556" s="85" t="str" cm="1">
        <f t="array" ref="C556">IFERROR(INDEX('03.Muestra'!$F$8:$F$42,SMALL(IF("Página Web"='03.Muestra'!$D$8:$D$42,ROW('03.Muestra'!$F$8:$F$42)-MIN(ROW('03.Muestra'!$D$8:$D$42))+1,""),ROW()-550)),"")</f>
        <v>https://www.comunidad.madrid/tacp/aviso-legal</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Accesibilidad</v>
      </c>
      <c r="C557" s="85" t="str" cm="1">
        <f t="array" ref="C557">IFERROR(INDEX('03.Muestra'!$F$8:$F$42,SMALL(IF("Página Web"='03.Muestra'!$D$8:$D$42,ROW('03.Muestra'!$F$8:$F$42)-MIN(ROW('03.Muestra'!$D$8:$D$42))+1,""),ROW()-550)),"")</f>
        <v>https://www.comunidad.madrid/tacp/accesibilidad</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Mapa Web</v>
      </c>
      <c r="C558" s="85" t="str" cm="1">
        <f t="array" ref="C558">IFERROR(INDEX('03.Muestra'!$F$8:$F$42,SMALL(IF("Página Web"='03.Muestra'!$D$8:$D$42,ROW('03.Muestra'!$F$8:$F$42)-MIN(ROW('03.Muestra'!$D$8:$D$42))+1,""),ROW()-550)),"")</f>
        <v>https://www.comunidad.madrid/tacp/sitemap</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ref="D559:D585" si="29">IF(AND(B559&lt;&gt;"",C559&lt;&gt;""),"N/T","")</f>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https://www.comunidad.madrid/tacp</v>
      </c>
      <c r="D589" s="99" t="s">
        <v>92</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Presentación electrónica</v>
      </c>
      <c r="C590" s="85" t="str" cm="1">
        <f t="array" ref="C590">IFERROR(INDEX('03.Muestra'!$F$8:$F$42,SMALL(IF("Página Web"='03.Muestra'!$D$8:$D$42,ROW('03.Muestra'!$F$8:$F$42)-MIN(ROW('03.Muestra'!$D$8:$D$42))+1,""),ROW()-588)),"")</f>
        <v>https://www.comunidad.madrid/tacp/el-tribunal/presentacion-electronica-e-impresos-normalizados</v>
      </c>
      <c r="D590" s="99" t="s">
        <v>92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8</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Memorias</v>
      </c>
      <c r="C591" s="85" t="str" cm="1">
        <f t="array" ref="C591">IFERROR(INDEX('03.Muestra'!$F$8:$F$42,SMALL(IF("Página Web"='03.Muestra'!$D$8:$D$42,ROW('03.Muestra'!$F$8:$F$42)-MIN(ROW('03.Muestra'!$D$8:$D$42))+1,""),ROW()-588)),"")</f>
        <v>https://www.comunidad.madrid/tacp/memorias</v>
      </c>
      <c r="D591" s="99" t="s">
        <v>92</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Buscador de resoluciones</v>
      </c>
      <c r="C592" s="85" t="str" cm="1">
        <f t="array" ref="C592">IFERROR(INDEX('03.Muestra'!$F$8:$F$42,SMALL(IF("Página Web"='03.Muestra'!$D$8:$D$42,ROW('03.Muestra'!$F$8:$F$42)-MIN(ROW('03.Muestra'!$D$8:$D$42))+1,""),ROW()-588)),"")</f>
        <v>https://www.comunidad.madrid/tacp/busquedaresoluciones</v>
      </c>
      <c r="D592" s="99" t="s">
        <v>92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Novedades</v>
      </c>
      <c r="C593" s="85" t="str" cm="1">
        <f t="array" ref="C593">IFERROR(INDEX('03.Muestra'!$F$8:$F$42,SMALL(IF("Página Web"='03.Muestra'!$D$8:$D$42,ROW('03.Muestra'!$F$8:$F$42)-MIN(ROW('03.Muestra'!$D$8:$D$42))+1,""),ROW()-588)),"")</f>
        <v>https://www.comunidad.madrid/tacp/novedades/publicacion-recursos-especiales-en-perfil-contratante</v>
      </c>
      <c r="D593" s="99" t="s">
        <v>92</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Aviso Legal</v>
      </c>
      <c r="C594" s="85" t="str" cm="1">
        <f t="array" ref="C594">IFERROR(INDEX('03.Muestra'!$F$8:$F$42,SMALL(IF("Página Web"='03.Muestra'!$D$8:$D$42,ROW('03.Muestra'!$F$8:$F$42)-MIN(ROW('03.Muestra'!$D$8:$D$42))+1,""),ROW()-588)),"")</f>
        <v>https://www.comunidad.madrid/tacp/aviso-legal</v>
      </c>
      <c r="D594" s="99" t="s">
        <v>92</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Accesibilidad</v>
      </c>
      <c r="C595" s="85" t="str" cm="1">
        <f t="array" ref="C595">IFERROR(INDEX('03.Muestra'!$F$8:$F$42,SMALL(IF("Página Web"='03.Muestra'!$D$8:$D$42,ROW('03.Muestra'!$F$8:$F$42)-MIN(ROW('03.Muestra'!$D$8:$D$42))+1,""),ROW()-588)),"")</f>
        <v>https://www.comunidad.madrid/tacp/accesibilidad</v>
      </c>
      <c r="D595" s="99" t="s">
        <v>92</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Mapa Web</v>
      </c>
      <c r="C596" s="85" t="str" cm="1">
        <f t="array" ref="C596">IFERROR(INDEX('03.Muestra'!$F$8:$F$42,SMALL(IF("Página Web"='03.Muestra'!$D$8:$D$42,ROW('03.Muestra'!$F$8:$F$42)-MIN(ROW('03.Muestra'!$D$8:$D$42))+1,""),ROW()-588)),"")</f>
        <v>https://www.comunidad.madrid/tacp/sitemap</v>
      </c>
      <c r="D596" s="99" t="s">
        <v>92</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ref="D597:D623" si="31">IF(AND(B597&lt;&gt;"",C597&lt;&gt;""),"N/T","")</f>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https://www.comunidad.madrid/tacp</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Presentación electrónica</v>
      </c>
      <c r="C628" s="85" t="str" cm="1">
        <f t="array" ref="C628">IFERROR(INDEX('03.Muestra'!$F$8:$F$42,SMALL(IF("Página Web"='03.Muestra'!$D$8:$D$42,ROW('03.Muestra'!$F$8:$F$42)-MIN(ROW('03.Muestra'!$D$8:$D$42))+1,""),ROW()-626)),"")</f>
        <v>https://www.comunidad.madrid/tacp/el-tribunal/presentacion-electronica-e-impresos-normalizados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8</v>
      </c>
      <c r="J628" s="91">
        <f ca="1">COUNTIF($D627:INDIRECT("$D" &amp;  SUM(ROW()-1,'03.Muestra'!$D$45)-1),J627)</f>
        <v>0</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Memorias</v>
      </c>
      <c r="C629" s="85" t="str" cm="1">
        <f t="array" ref="C629">IFERROR(INDEX('03.Muestra'!$F$8:$F$42,SMALL(IF("Página Web"='03.Muestra'!$D$8:$D$42,ROW('03.Muestra'!$F$8:$F$42)-MIN(ROW('03.Muestra'!$D$8:$D$42))+1,""),ROW()-626)),"")</f>
        <v>https://www.comunidad.madrid/tacp/memorias</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Buscador de resoluciones</v>
      </c>
      <c r="C630" s="85" t="str" cm="1">
        <f t="array" ref="C630">IFERROR(INDEX('03.Muestra'!$F$8:$F$42,SMALL(IF("Página Web"='03.Muestra'!$D$8:$D$42,ROW('03.Muestra'!$F$8:$F$42)-MIN(ROW('03.Muestra'!$D$8:$D$42))+1,""),ROW()-626)),"")</f>
        <v>https://www.comunidad.madrid/tacp/busquedaresoluciones</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Novedades</v>
      </c>
      <c r="C631" s="85" t="str" cm="1">
        <f t="array" ref="C631">IFERROR(INDEX('03.Muestra'!$F$8:$F$42,SMALL(IF("Página Web"='03.Muestra'!$D$8:$D$42,ROW('03.Muestra'!$F$8:$F$42)-MIN(ROW('03.Muestra'!$D$8:$D$42))+1,""),ROW()-626)),"")</f>
        <v>https://www.comunidad.madrid/tacp/novedades/publicacion-recursos-especiales-en-perfil-contratante</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Aviso Legal</v>
      </c>
      <c r="C632" s="85" t="str" cm="1">
        <f t="array" ref="C632">IFERROR(INDEX('03.Muestra'!$F$8:$F$42,SMALL(IF("Página Web"='03.Muestra'!$D$8:$D$42,ROW('03.Muestra'!$F$8:$F$42)-MIN(ROW('03.Muestra'!$D$8:$D$42))+1,""),ROW()-626)),"")</f>
        <v>https://www.comunidad.madrid/tacp/aviso-legal</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Accesibilidad</v>
      </c>
      <c r="C633" s="85" t="str" cm="1">
        <f t="array" ref="C633">IFERROR(INDEX('03.Muestra'!$F$8:$F$42,SMALL(IF("Página Web"='03.Muestra'!$D$8:$D$42,ROW('03.Muestra'!$F$8:$F$42)-MIN(ROW('03.Muestra'!$D$8:$D$42))+1,""),ROW()-626)),"")</f>
        <v>https://www.comunidad.madrid/tacp/accesibilidad</v>
      </c>
      <c r="D633" s="99" t="s">
        <v>94</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Mapa Web</v>
      </c>
      <c r="C634" s="85" t="str" cm="1">
        <f t="array" ref="C634">IFERROR(INDEX('03.Muestra'!$F$8:$F$42,SMALL(IF("Página Web"='03.Muestra'!$D$8:$D$42,ROW('03.Muestra'!$F$8:$F$42)-MIN(ROW('03.Muestra'!$D$8:$D$42))+1,""),ROW()-626)),"")</f>
        <v>https://www.comunidad.madrid/tacp/sitemap</v>
      </c>
      <c r="D634" s="99" t="s">
        <v>94</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ref="D635:D661" si="33">IF(AND(B635&lt;&gt;"",C635&lt;&gt;""),"N/T","")</f>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https://www.comunidad.madrid/tacp</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Presentación electrónica</v>
      </c>
      <c r="C666" s="85" t="str" cm="1">
        <f t="array" ref="C666">IFERROR(INDEX('03.Muestra'!$F$8:$F$42,SMALL(IF("Página Web"='03.Muestra'!$D$8:$D$42,ROW('03.Muestra'!$F$8:$F$42)-MIN(ROW('03.Muestra'!$D$8:$D$42))+1,""),ROW()-664)),"")</f>
        <v>https://www.comunidad.madrid/tacp/el-tribunal/presentacion-electronica-e-impresos-normalizados</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8</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Memorias</v>
      </c>
      <c r="C667" s="85" t="str" cm="1">
        <f t="array" ref="C667">IFERROR(INDEX('03.Muestra'!$F$8:$F$42,SMALL(IF("Página Web"='03.Muestra'!$D$8:$D$42,ROW('03.Muestra'!$F$8:$F$42)-MIN(ROW('03.Muestra'!$D$8:$D$42))+1,""),ROW()-664)),"")</f>
        <v>https://www.comunidad.madrid/tacp/memorias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Buscador de resoluciones</v>
      </c>
      <c r="C668" s="85" t="str" cm="1">
        <f t="array" ref="C668">IFERROR(INDEX('03.Muestra'!$F$8:$F$42,SMALL(IF("Página Web"='03.Muestra'!$D$8:$D$42,ROW('03.Muestra'!$F$8:$F$42)-MIN(ROW('03.Muestra'!$D$8:$D$42))+1,""),ROW()-664)),"")</f>
        <v>https://www.comunidad.madrid/tacp/busquedaresoluciones</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Novedades</v>
      </c>
      <c r="C669" s="85" t="str" cm="1">
        <f t="array" ref="C669">IFERROR(INDEX('03.Muestra'!$F$8:$F$42,SMALL(IF("Página Web"='03.Muestra'!$D$8:$D$42,ROW('03.Muestra'!$F$8:$F$42)-MIN(ROW('03.Muestra'!$D$8:$D$42))+1,""),ROW()-664)),"")</f>
        <v>https://www.comunidad.madrid/tacp/novedades/publicacion-recursos-especiales-en-perfil-contratante</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Aviso Legal</v>
      </c>
      <c r="C670" s="85" t="str" cm="1">
        <f t="array" ref="C670">IFERROR(INDEX('03.Muestra'!$F$8:$F$42,SMALL(IF("Página Web"='03.Muestra'!$D$8:$D$42,ROW('03.Muestra'!$F$8:$F$42)-MIN(ROW('03.Muestra'!$D$8:$D$42))+1,""),ROW()-664)),"")</f>
        <v>https://www.comunidad.madrid/tacp/aviso-legal</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Accesibilidad</v>
      </c>
      <c r="C671" s="85" t="str" cm="1">
        <f t="array" ref="C671">IFERROR(INDEX('03.Muestra'!$F$8:$F$42,SMALL(IF("Página Web"='03.Muestra'!$D$8:$D$42,ROW('03.Muestra'!$F$8:$F$42)-MIN(ROW('03.Muestra'!$D$8:$D$42))+1,""),ROW()-664)),"")</f>
        <v>https://www.comunidad.madrid/tacp/accesibilidad</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Mapa Web</v>
      </c>
      <c r="C672" s="85" t="str" cm="1">
        <f t="array" ref="C672">IFERROR(INDEX('03.Muestra'!$F$8:$F$42,SMALL(IF("Página Web"='03.Muestra'!$D$8:$D$42,ROW('03.Muestra'!$F$8:$F$42)-MIN(ROW('03.Muestra'!$D$8:$D$42))+1,""),ROW()-664)),"")</f>
        <v>https://www.comunidad.madrid/tacp/sitemap</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t="str">
        <f t="shared" ref="D673:D699" si="35">IF(AND(B673&lt;&gt;"",C673&lt;&gt;""),"N/T","")</f>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https://www.comunidad.madrid/tacp</v>
      </c>
      <c r="D703" s="99" t="s">
        <v>92</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Presentación electrónica</v>
      </c>
      <c r="C704" s="85" t="str" cm="1">
        <f t="array" ref="C704">IFERROR(INDEX('03.Muestra'!$F$8:$F$42,SMALL(IF("Página Web"='03.Muestra'!$D$8:$D$42,ROW('03.Muestra'!$F$8:$F$42)-MIN(ROW('03.Muestra'!$D$8:$D$42))+1,""),ROW()-702)),"")</f>
        <v>https://www.comunidad.madrid/tacp/el-tribunal/presentacion-electronica-e-impresos-normalizados</v>
      </c>
      <c r="D704" s="99" t="s">
        <v>92</v>
      </c>
      <c r="E704" s="79" t="str">
        <f t="shared" si="36"/>
        <v/>
      </c>
      <c r="F704" s="91">
        <f ca="1">COUNTIF($D703:INDIRECT("$D" &amp;  SUM(ROW()-1,'03.Muestra'!$D$45)-1),F703)</f>
        <v>0</v>
      </c>
      <c r="G704" s="91">
        <f ca="1">COUNTIF($D703:INDIRECT("$D" &amp;  SUM(ROW()-1,'03.Muestra'!$D$45)-1),G703)</f>
        <v>0</v>
      </c>
      <c r="H704" s="91">
        <f ca="1">COUNTIF($D703:INDIRECT("$D" &amp;  SUM(ROW()-1,'03.Muestra'!$D$45)-1),H703)</f>
        <v>2</v>
      </c>
      <c r="I704" s="91">
        <f ca="1">COUNTIF($D703:INDIRECT("$D" &amp;  SUM(ROW()-1,'03.Muestra'!$D$45)-1),I703)</f>
        <v>0</v>
      </c>
      <c r="J704" s="91">
        <f ca="1">COUNTIF($D703:INDIRECT("$D" &amp;  SUM(ROW()-1,'03.Muestra'!$D$45)-1),J703)</f>
        <v>6</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Memorias</v>
      </c>
      <c r="C705" s="85" t="str" cm="1">
        <f t="array" ref="C705">IFERROR(INDEX('03.Muestra'!$F$8:$F$42,SMALL(IF("Página Web"='03.Muestra'!$D$8:$D$42,ROW('03.Muestra'!$F$8:$F$42)-MIN(ROW('03.Muestra'!$D$8:$D$42))+1,""),ROW()-702)),"")</f>
        <v>https://www.comunidad.madrid/tacp/memorias</v>
      </c>
      <c r="D705" s="99" t="s">
        <v>92</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Buscador de resoluciones</v>
      </c>
      <c r="C706" s="85" t="str" cm="1">
        <f t="array" ref="C706">IFERROR(INDEX('03.Muestra'!$F$8:$F$42,SMALL(IF("Página Web"='03.Muestra'!$D$8:$D$42,ROW('03.Muestra'!$F$8:$F$42)-MIN(ROW('03.Muestra'!$D$8:$D$42))+1,""),ROW()-702)),"")</f>
        <v>https://www.comunidad.madrid/tacp/busquedaresoluciones</v>
      </c>
      <c r="D706" s="99" t="s">
        <v>92</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Novedades</v>
      </c>
      <c r="C707" s="85" t="str" cm="1">
        <f t="array" ref="C707">IFERROR(INDEX('03.Muestra'!$F$8:$F$42,SMALL(IF("Página Web"='03.Muestra'!$D$8:$D$42,ROW('03.Muestra'!$F$8:$F$42)-MIN(ROW('03.Muestra'!$D$8:$D$42))+1,""),ROW()-702)),"")</f>
        <v>https://www.comunidad.madrid/tacp/novedades/publicacion-recursos-especiales-en-perfil-contratante</v>
      </c>
      <c r="D707" s="99" t="s">
        <v>92</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Aviso Legal</v>
      </c>
      <c r="C708" s="85" t="str" cm="1">
        <f t="array" ref="C708">IFERROR(INDEX('03.Muestra'!$F$8:$F$42,SMALL(IF("Página Web"='03.Muestra'!$D$8:$D$42,ROW('03.Muestra'!$F$8:$F$42)-MIN(ROW('03.Muestra'!$D$8:$D$42))+1,""),ROW()-702)),"")</f>
        <v>https://www.comunidad.madrid/tacp/aviso-legal</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Accesibilidad</v>
      </c>
      <c r="C709" s="85" t="str" cm="1">
        <f t="array" ref="C709">IFERROR(INDEX('03.Muestra'!$F$8:$F$42,SMALL(IF("Página Web"='03.Muestra'!$D$8:$D$42,ROW('03.Muestra'!$F$8:$F$42)-MIN(ROW('03.Muestra'!$D$8:$D$42))+1,""),ROW()-702)),"")</f>
        <v>https://www.comunidad.madrid/tacp/accesibilidad</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Mapa Web</v>
      </c>
      <c r="C710" s="85" t="str" cm="1">
        <f t="array" ref="C710">IFERROR(INDEX('03.Muestra'!$F$8:$F$42,SMALL(IF("Página Web"='03.Muestra'!$D$8:$D$42,ROW('03.Muestra'!$F$8:$F$42)-MIN(ROW('03.Muestra'!$D$8:$D$42))+1,""),ROW()-702)),"")</f>
        <v>https://www.comunidad.madrid/tacp/sitemap</v>
      </c>
      <c r="D710" s="99" t="s">
        <v>92</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ref="D711:D737" si="37">IF(AND(B711&lt;&gt;"",C711&lt;&gt;""),"N/T","")</f>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https://www.comunidad.madrid/tacp</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Presentación electrónica</v>
      </c>
      <c r="C742" s="85" t="str" cm="1">
        <f t="array" ref="C742">IFERROR(INDEX('03.Muestra'!$F$8:$F$42,SMALL(IF("Página Web"='03.Muestra'!$D$8:$D$42,ROW('03.Muestra'!$F$8:$F$42)-MIN(ROW('03.Muestra'!$D$8:$D$42))+1,""),ROW()-740)),"")</f>
        <v>https://www.comunidad.madrid/tacp/el-tribunal/presentacion-electronica-e-impresos-normalizados</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8</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Memorias</v>
      </c>
      <c r="C743" s="85" t="str" cm="1">
        <f t="array" ref="C743">IFERROR(INDEX('03.Muestra'!$F$8:$F$42,SMALL(IF("Página Web"='03.Muestra'!$D$8:$D$42,ROW('03.Muestra'!$F$8:$F$42)-MIN(ROW('03.Muestra'!$D$8:$D$42))+1,""),ROW()-740)),"")</f>
        <v>https://www.comunidad.madrid/tacp/memorias</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Buscador de resoluciones</v>
      </c>
      <c r="C744" s="85" t="str" cm="1">
        <f t="array" ref="C744">IFERROR(INDEX('03.Muestra'!$F$8:$F$42,SMALL(IF("Página Web"='03.Muestra'!$D$8:$D$42,ROW('03.Muestra'!$F$8:$F$42)-MIN(ROW('03.Muestra'!$D$8:$D$42))+1,""),ROW()-740)),"")</f>
        <v>https://www.comunidad.madrid/tacp/busquedaresoluciones</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Novedades</v>
      </c>
      <c r="C745" s="85" t="str" cm="1">
        <f t="array" ref="C745">IFERROR(INDEX('03.Muestra'!$F$8:$F$42,SMALL(IF("Página Web"='03.Muestra'!$D$8:$D$42,ROW('03.Muestra'!$F$8:$F$42)-MIN(ROW('03.Muestra'!$D$8:$D$42))+1,""),ROW()-740)),"")</f>
        <v>https://www.comunidad.madrid/tacp/novedades/publicacion-recursos-especiales-en-perfil-contratante</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Aviso Legal</v>
      </c>
      <c r="C746" s="85" t="str" cm="1">
        <f t="array" ref="C746">IFERROR(INDEX('03.Muestra'!$F$8:$F$42,SMALL(IF("Página Web"='03.Muestra'!$D$8:$D$42,ROW('03.Muestra'!$F$8:$F$42)-MIN(ROW('03.Muestra'!$D$8:$D$42))+1,""),ROW()-740)),"")</f>
        <v>https://www.comunidad.madrid/tacp/aviso-legal</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Accesibilidad</v>
      </c>
      <c r="C747" s="85" t="str" cm="1">
        <f t="array" ref="C747">IFERROR(INDEX('03.Muestra'!$F$8:$F$42,SMALL(IF("Página Web"='03.Muestra'!$D$8:$D$42,ROW('03.Muestra'!$F$8:$F$42)-MIN(ROW('03.Muestra'!$D$8:$D$42))+1,""),ROW()-740)),"")</f>
        <v>https://www.comunidad.madrid/tacp/accesibilidad</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Mapa Web</v>
      </c>
      <c r="C748" s="85" t="str" cm="1">
        <f t="array" ref="C748">IFERROR(INDEX('03.Muestra'!$F$8:$F$42,SMALL(IF("Página Web"='03.Muestra'!$D$8:$D$42,ROW('03.Muestra'!$F$8:$F$42)-MIN(ROW('03.Muestra'!$D$8:$D$42))+1,""),ROW()-740)),"")</f>
        <v>https://www.comunidad.madrid/tacp/sitemap</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IFERROR(INDEX('03.Muestra'!$B$8:$B$42,SMALL(IF("Página Web"='03.Muestra'!$D$8:$D$42,ROW('03.Muestra'!$B$8:$B$42)-MIN(ROW('03.Muestra'!$D$8:$D$42))+1,""),ROW()-740)),"")</f>
        <v/>
      </c>
      <c r="B749" s="85" t="str" cm="1">
        <f t="array" ref="B749">IFERROR(INDEX('03.Muestra'!$C$8:$C$42,SMALL(IF("Página Web"='03.Muestra'!$D$8:$D$42,ROW('03.Muestra'!$C$8:$C$42)-MIN(ROW('03.Muestra'!$D$8:$D$42))+1,""),ROW()-740)),"")</f>
        <v/>
      </c>
      <c r="C749" s="85" t="str" cm="1">
        <f t="array" ref="C749">IFERROR(INDEX('03.Muestra'!$F$8:$F$42,SMALL(IF("Página Web"='03.Muestra'!$D$8:$D$42,ROW('03.Muestra'!$F$8:$F$42)-MIN(ROW('03.Muestra'!$D$8:$D$42))+1,""),ROW()-740)),"")</f>
        <v/>
      </c>
      <c r="D749" s="99" t="str">
        <f t="shared" ref="D749:D775" si="39">IF(AND(B749&lt;&gt;"",C749&lt;&gt;""),"N/T","")</f>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IFERROR(INDEX('03.Muestra'!$B$8:$B$42,SMALL(IF("Página Web"='03.Muestra'!$D$8:$D$42,ROW('03.Muestra'!$B$8:$B$42)-MIN(ROW('03.Muestra'!$D$8:$D$42))+1,""),ROW()-740)),"")</f>
        <v/>
      </c>
      <c r="B750" s="85" t="str" cm="1">
        <f t="array" ref="B750">IFERROR(INDEX('03.Muestra'!$C$8:$C$42,SMALL(IF("Página Web"='03.Muestra'!$D$8:$D$42,ROW('03.Muestra'!$C$8:$C$42)-MIN(ROW('03.Muestra'!$D$8:$D$42))+1,""),ROW()-740)),"")</f>
        <v/>
      </c>
      <c r="C750" s="85" t="str" cm="1">
        <f t="array" ref="C750">IFERROR(INDEX('03.Muestra'!$F$8:$F$42,SMALL(IF("Página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https://www.comunidad.madrid/tacp</v>
      </c>
      <c r="D779" s="99" t="s">
        <v>94</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Presentación electrónica</v>
      </c>
      <c r="C780" s="85" t="str" cm="1">
        <f t="array" ref="C780">IFERROR(INDEX('03.Muestra'!$F$8:$F$42,SMALL(IF("Página Web"='03.Muestra'!$D$8:$D$42,ROW('03.Muestra'!$F$8:$F$42)-MIN(ROW('03.Muestra'!$D$8:$D$42))+1,""),ROW()-778)),"")</f>
        <v>https://www.comunidad.madrid/tacp/el-tribunal/presentacion-electronica-e-impresos-normalizados</v>
      </c>
      <c r="D780" s="99" t="s">
        <v>94</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6</v>
      </c>
      <c r="J780" s="91">
        <f ca="1">COUNTIF($D779:INDIRECT("$D" &amp;  SUM(ROW()-1,'03.Muestra'!$D$45)-1),J779)</f>
        <v>2</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Memorias</v>
      </c>
      <c r="C781" s="85" t="str" cm="1">
        <f t="array" ref="C781">IFERROR(INDEX('03.Muestra'!$F$8:$F$42,SMALL(IF("Página Web"='03.Muestra'!$D$8:$D$42,ROW('03.Muestra'!$F$8:$F$42)-MIN(ROW('03.Muestra'!$D$8:$D$42))+1,""),ROW()-778)),"")</f>
        <v>https://www.comunidad.madrid/tacp/memorias</v>
      </c>
      <c r="D781" s="99" t="s">
        <v>94</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Buscador de resoluciones</v>
      </c>
      <c r="C782" s="85" t="str" cm="1">
        <f t="array" ref="C782">IFERROR(INDEX('03.Muestra'!$F$8:$F$42,SMALL(IF("Página Web"='03.Muestra'!$D$8:$D$42,ROW('03.Muestra'!$F$8:$F$42)-MIN(ROW('03.Muestra'!$D$8:$D$42))+1,""),ROW()-778)),"")</f>
        <v>https://www.comunidad.madrid/tacp/busquedaresoluciones</v>
      </c>
      <c r="D782" s="99" t="s">
        <v>94</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Novedades</v>
      </c>
      <c r="C783" s="85" t="str" cm="1">
        <f t="array" ref="C783">IFERROR(INDEX('03.Muestra'!$F$8:$F$42,SMALL(IF("Página Web"='03.Muestra'!$D$8:$D$42,ROW('03.Muestra'!$F$8:$F$42)-MIN(ROW('03.Muestra'!$D$8:$D$42))+1,""),ROW()-778)),"")</f>
        <v>https://www.comunidad.madrid/tacp/novedades/publicacion-recursos-especiales-en-perfil-contratante</v>
      </c>
      <c r="D783" s="99" t="s">
        <v>94</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Aviso Legal</v>
      </c>
      <c r="C784" s="85" t="str" cm="1">
        <f t="array" ref="C784">IFERROR(INDEX('03.Muestra'!$F$8:$F$42,SMALL(IF("Página Web"='03.Muestra'!$D$8:$D$42,ROW('03.Muestra'!$F$8:$F$42)-MIN(ROW('03.Muestra'!$D$8:$D$42))+1,""),ROW()-778)),"")</f>
        <v>https://www.comunidad.madrid/tacp/aviso-legal</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Accesibilidad</v>
      </c>
      <c r="C785" s="85" t="str" cm="1">
        <f t="array" ref="C785">IFERROR(INDEX('03.Muestra'!$F$8:$F$42,SMALL(IF("Página Web"='03.Muestra'!$D$8:$D$42,ROW('03.Muestra'!$F$8:$F$42)-MIN(ROW('03.Muestra'!$D$8:$D$42))+1,""),ROW()-778)),"")</f>
        <v>https://www.comunidad.madrid/tacp/accesibilidad</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Mapa Web</v>
      </c>
      <c r="C786" s="85" t="str" cm="1">
        <f t="array" ref="C786">IFERROR(INDEX('03.Muestra'!$F$8:$F$42,SMALL(IF("Página Web"='03.Muestra'!$D$8:$D$42,ROW('03.Muestra'!$F$8:$F$42)-MIN(ROW('03.Muestra'!$D$8:$D$42))+1,""),ROW()-778)),"")</f>
        <v>https://www.comunidad.madrid/tacp/sitemap</v>
      </c>
      <c r="D786" s="99" t="s">
        <v>94</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t="str" cm="1">
        <f t="array" ref="A787">IFERROR(INDEX('03.Muestra'!$B$8:$B$42,SMALL(IF("Página Web"='03.Muestra'!$D$8:$D$42,ROW('03.Muestra'!$B$8:$B$42)-MIN(ROW('03.Muestra'!$D$8:$D$42))+1,""),ROW()-778)),"")</f>
        <v/>
      </c>
      <c r="B787" s="85" t="str" cm="1">
        <f t="array" ref="B787">IFERROR(INDEX('03.Muestra'!$C$8:$C$42,SMALL(IF("Página Web"='03.Muestra'!$D$8:$D$42,ROW('03.Muestra'!$C$8:$C$42)-MIN(ROW('03.Muestra'!$D$8:$D$42))+1,""),ROW()-778)),"")</f>
        <v/>
      </c>
      <c r="C787" s="85" t="str" cm="1">
        <f t="array" ref="C787">IFERROR(INDEX('03.Muestra'!$F$8:$F$42,SMALL(IF("Página Web"='03.Muestra'!$D$8:$D$42,ROW('03.Muestra'!$F$8:$F$42)-MIN(ROW('03.Muestra'!$D$8:$D$42))+1,""),ROW()-778)),"")</f>
        <v/>
      </c>
      <c r="D787" s="99" t="str">
        <f t="shared" ref="D787:D813" si="41">IF(AND(B787&lt;&gt;"",C787&lt;&gt;""),"N/T","")</f>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t="str" cm="1">
        <f t="array" ref="A788">IFERROR(INDEX('03.Muestra'!$B$8:$B$42,SMALL(IF("Página Web"='03.Muestra'!$D$8:$D$42,ROW('03.Muestra'!$B$8:$B$42)-MIN(ROW('03.Muestra'!$D$8:$D$42))+1,""),ROW()-778)),"")</f>
        <v/>
      </c>
      <c r="B788" s="85" t="str" cm="1">
        <f t="array" ref="B788">IFERROR(INDEX('03.Muestra'!$C$8:$C$42,SMALL(IF("Página Web"='03.Muestra'!$D$8:$D$42,ROW('03.Muestra'!$C$8:$C$42)-MIN(ROW('03.Muestra'!$D$8:$D$42))+1,""),ROW()-778)),"")</f>
        <v/>
      </c>
      <c r="C788" s="85" t="str" cm="1">
        <f t="array" ref="C788">IFERROR(INDEX('03.Muestra'!$F$8:$F$42,SMALL(IF("Página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https://www.comunidad.madrid/tacp</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Presentación electrónica</v>
      </c>
      <c r="C818" s="85" t="str" cm="1">
        <f t="array" ref="C818">IFERROR(INDEX('03.Muestra'!$F$8:$F$42,SMALL(IF("Página Web"='03.Muestra'!$D$8:$D$42,ROW('03.Muestra'!$F$8:$F$42)-MIN(ROW('03.Muestra'!$D$8:$D$42))+1,""),ROW()-816)),"")</f>
        <v>https://www.comunidad.madrid/tacp/el-tribunal/presentacion-electronica-e-impresos-normalizados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8</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Memorias</v>
      </c>
      <c r="C819" s="85" t="str" cm="1">
        <f t="array" ref="C819">IFERROR(INDEX('03.Muestra'!$F$8:$F$42,SMALL(IF("Página Web"='03.Muestra'!$D$8:$D$42,ROW('03.Muestra'!$F$8:$F$42)-MIN(ROW('03.Muestra'!$D$8:$D$42))+1,""),ROW()-816)),"")</f>
        <v>https://www.comunidad.madrid/tacp/memorias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Buscador de resoluciones</v>
      </c>
      <c r="C820" s="85" t="str" cm="1">
        <f t="array" ref="C820">IFERROR(INDEX('03.Muestra'!$F$8:$F$42,SMALL(IF("Página Web"='03.Muestra'!$D$8:$D$42,ROW('03.Muestra'!$F$8:$F$42)-MIN(ROW('03.Muestra'!$D$8:$D$42))+1,""),ROW()-816)),"")</f>
        <v>https://www.comunidad.madrid/tacp/busquedaresoluciones</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Novedades</v>
      </c>
      <c r="C821" s="85" t="str" cm="1">
        <f t="array" ref="C821">IFERROR(INDEX('03.Muestra'!$F$8:$F$42,SMALL(IF("Página Web"='03.Muestra'!$D$8:$D$42,ROW('03.Muestra'!$F$8:$F$42)-MIN(ROW('03.Muestra'!$D$8:$D$42))+1,""),ROW()-816)),"")</f>
        <v>https://www.comunidad.madrid/tacp/novedades/publicacion-recursos-especiales-en-perfil-contratante</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Aviso Legal</v>
      </c>
      <c r="C822" s="85" t="str" cm="1">
        <f t="array" ref="C822">IFERROR(INDEX('03.Muestra'!$F$8:$F$42,SMALL(IF("Página Web"='03.Muestra'!$D$8:$D$42,ROW('03.Muestra'!$F$8:$F$42)-MIN(ROW('03.Muestra'!$D$8:$D$42))+1,""),ROW()-816)),"")</f>
        <v>https://www.comunidad.madrid/tacp/aviso-legal</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Accesibilidad</v>
      </c>
      <c r="C823" s="85" t="str" cm="1">
        <f t="array" ref="C823">IFERROR(INDEX('03.Muestra'!$F$8:$F$42,SMALL(IF("Página Web"='03.Muestra'!$D$8:$D$42,ROW('03.Muestra'!$F$8:$F$42)-MIN(ROW('03.Muestra'!$D$8:$D$42))+1,""),ROW()-816)),"")</f>
        <v>https://www.comunidad.madrid/tacp/accesibilidad</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Mapa Web</v>
      </c>
      <c r="C824" s="85" t="str" cm="1">
        <f t="array" ref="C824">IFERROR(INDEX('03.Muestra'!$F$8:$F$42,SMALL(IF("Página Web"='03.Muestra'!$D$8:$D$42,ROW('03.Muestra'!$F$8:$F$42)-MIN(ROW('03.Muestra'!$D$8:$D$42))+1,""),ROW()-816)),"")</f>
        <v>https://www.comunidad.madrid/tacp/sitemap</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t="str" cm="1">
        <f t="array" ref="A825">IFERROR(INDEX('03.Muestra'!$B$8:$B$42,SMALL(IF("Página Web"='03.Muestra'!$D$8:$D$42,ROW('03.Muestra'!$B$8:$B$42)-MIN(ROW('03.Muestra'!$D$8:$D$42))+1,""),ROW()-816)),"")</f>
        <v/>
      </c>
      <c r="B825" s="85" t="str" cm="1">
        <f t="array" ref="B825">IFERROR(INDEX('03.Muestra'!$C$8:$C$42,SMALL(IF("Página Web"='03.Muestra'!$D$8:$D$42,ROW('03.Muestra'!$C$8:$C$42)-MIN(ROW('03.Muestra'!$D$8:$D$42))+1,""),ROW()-816)),"")</f>
        <v/>
      </c>
      <c r="C825" s="85" t="str" cm="1">
        <f t="array" ref="C825">IFERROR(INDEX('03.Muestra'!$F$8:$F$42,SMALL(IF("Página Web"='03.Muestra'!$D$8:$D$42,ROW('03.Muestra'!$F$8:$F$42)-MIN(ROW('03.Muestra'!$D$8:$D$42))+1,""),ROW()-816)),"")</f>
        <v/>
      </c>
      <c r="D825" s="99" t="str">
        <f t="shared" ref="D825:D851" si="43">IF(AND(B825&lt;&gt;"",C825&lt;&gt;""),"N/T","")</f>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t="str" cm="1">
        <f t="array" ref="A826">IFERROR(INDEX('03.Muestra'!$B$8:$B$42,SMALL(IF("Página Web"='03.Muestra'!$D$8:$D$42,ROW('03.Muestra'!$B$8:$B$42)-MIN(ROW('03.Muestra'!$D$8:$D$42))+1,""),ROW()-816)),"")</f>
        <v/>
      </c>
      <c r="B826" s="85" t="str" cm="1">
        <f t="array" ref="B826">IFERROR(INDEX('03.Muestra'!$C$8:$C$42,SMALL(IF("Página Web"='03.Muestra'!$D$8:$D$42,ROW('03.Muestra'!$C$8:$C$42)-MIN(ROW('03.Muestra'!$D$8:$D$42))+1,""),ROW()-816)),"")</f>
        <v/>
      </c>
      <c r="C826" s="85" t="str" cm="1">
        <f t="array" ref="C826">IFERROR(INDEX('03.Muestra'!$F$8:$F$42,SMALL(IF("Página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https://www.comunidad.madrid/tacp</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Presentación electrónica</v>
      </c>
      <c r="C856" s="85" t="str" cm="1">
        <f t="array" ref="C856">IFERROR(INDEX('03.Muestra'!$F$8:$F$42,SMALL(IF("Página Web"='03.Muestra'!$D$8:$D$42,ROW('03.Muestra'!$F$8:$F$42)-MIN(ROW('03.Muestra'!$D$8:$D$42))+1,""),ROW()-854)),"")</f>
        <v>https://www.comunidad.madrid/tacp/el-tribunal/presentacion-electronica-e-impresos-normalizados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8</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Memorias</v>
      </c>
      <c r="C857" s="85" t="str" cm="1">
        <f t="array" ref="C857">IFERROR(INDEX('03.Muestra'!$F$8:$F$42,SMALL(IF("Página Web"='03.Muestra'!$D$8:$D$42,ROW('03.Muestra'!$F$8:$F$42)-MIN(ROW('03.Muestra'!$D$8:$D$42))+1,""),ROW()-854)),"")</f>
        <v>https://www.comunidad.madrid/tacp/memorias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Buscador de resoluciones</v>
      </c>
      <c r="C858" s="85" t="str" cm="1">
        <f t="array" ref="C858">IFERROR(INDEX('03.Muestra'!$F$8:$F$42,SMALL(IF("Página Web"='03.Muestra'!$D$8:$D$42,ROW('03.Muestra'!$F$8:$F$42)-MIN(ROW('03.Muestra'!$D$8:$D$42))+1,""),ROW()-854)),"")</f>
        <v>https://www.comunidad.madrid/tacp/busquedaresoluciones</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Novedades</v>
      </c>
      <c r="C859" s="85" t="str" cm="1">
        <f t="array" ref="C859">IFERROR(INDEX('03.Muestra'!$F$8:$F$42,SMALL(IF("Página Web"='03.Muestra'!$D$8:$D$42,ROW('03.Muestra'!$F$8:$F$42)-MIN(ROW('03.Muestra'!$D$8:$D$42))+1,""),ROW()-854)),"")</f>
        <v>https://www.comunidad.madrid/tacp/novedades/publicacion-recursos-especiales-en-perfil-contratante</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Aviso Legal</v>
      </c>
      <c r="C860" s="85" t="str" cm="1">
        <f t="array" ref="C860">IFERROR(INDEX('03.Muestra'!$F$8:$F$42,SMALL(IF("Página Web"='03.Muestra'!$D$8:$D$42,ROW('03.Muestra'!$F$8:$F$42)-MIN(ROW('03.Muestra'!$D$8:$D$42))+1,""),ROW()-854)),"")</f>
        <v>https://www.comunidad.madrid/tacp/aviso-legal</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Accesibilidad</v>
      </c>
      <c r="C861" s="85" t="str" cm="1">
        <f t="array" ref="C861">IFERROR(INDEX('03.Muestra'!$F$8:$F$42,SMALL(IF("Página Web"='03.Muestra'!$D$8:$D$42,ROW('03.Muestra'!$F$8:$F$42)-MIN(ROW('03.Muestra'!$D$8:$D$42))+1,""),ROW()-854)),"")</f>
        <v>https://www.comunidad.madrid/tacp/accesibilidad</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Mapa Web</v>
      </c>
      <c r="C862" s="85" t="str" cm="1">
        <f t="array" ref="C862">IFERROR(INDEX('03.Muestra'!$F$8:$F$42,SMALL(IF("Página Web"='03.Muestra'!$D$8:$D$42,ROW('03.Muestra'!$F$8:$F$42)-MIN(ROW('03.Muestra'!$D$8:$D$42))+1,""),ROW()-854)),"")</f>
        <v>https://www.comunidad.madrid/tacp/sitemap</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t="str" cm="1">
        <f t="array" ref="A863">IFERROR(INDEX('03.Muestra'!$B$8:$B$42,SMALL(IF("Página Web"='03.Muestra'!$D$8:$D$42,ROW('03.Muestra'!$B$8:$B$42)-MIN(ROW('03.Muestra'!$D$8:$D$42))+1,""),ROW()-854)),"")</f>
        <v/>
      </c>
      <c r="B863" s="85" t="str" cm="1">
        <f t="array" ref="B863">IFERROR(INDEX('03.Muestra'!$C$8:$C$42,SMALL(IF("Página Web"='03.Muestra'!$D$8:$D$42,ROW('03.Muestra'!$C$8:$C$42)-MIN(ROW('03.Muestra'!$D$8:$D$42))+1,""),ROW()-854)),"")</f>
        <v/>
      </c>
      <c r="C863" s="85" t="str" cm="1">
        <f t="array" ref="C863">IFERROR(INDEX('03.Muestra'!$F$8:$F$42,SMALL(IF("Página Web"='03.Muestra'!$D$8:$D$42,ROW('03.Muestra'!$F$8:$F$42)-MIN(ROW('03.Muestra'!$D$8:$D$42))+1,""),ROW()-854)),"")</f>
        <v/>
      </c>
      <c r="D863" s="99" t="str">
        <f t="shared" ref="D863:D889" si="45">IF(AND(B863&lt;&gt;"",C863&lt;&gt;""),"N/T","")</f>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t="str" cm="1">
        <f t="array" ref="A864">IFERROR(INDEX('03.Muestra'!$B$8:$B$42,SMALL(IF("Página Web"='03.Muestra'!$D$8:$D$42,ROW('03.Muestra'!$B$8:$B$42)-MIN(ROW('03.Muestra'!$D$8:$D$42))+1,""),ROW()-854)),"")</f>
        <v/>
      </c>
      <c r="B864" s="85" t="str" cm="1">
        <f t="array" ref="B864">IFERROR(INDEX('03.Muestra'!$C$8:$C$42,SMALL(IF("Página Web"='03.Muestra'!$D$8:$D$42,ROW('03.Muestra'!$C$8:$C$42)-MIN(ROW('03.Muestra'!$D$8:$D$42))+1,""),ROW()-854)),"")</f>
        <v/>
      </c>
      <c r="C864" s="85" t="str" cm="1">
        <f t="array" ref="C864">IFERROR(INDEX('03.Muestra'!$F$8:$F$42,SMALL(IF("Página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https://www.comunidad.madrid/tacp</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Presentación electrónica</v>
      </c>
      <c r="C894" s="85" t="str" cm="1">
        <f t="array" ref="C894">IFERROR(INDEX('03.Muestra'!$F$8:$F$42,SMALL(IF("Página Web"='03.Muestra'!$D$8:$D$42,ROW('03.Muestra'!$F$8:$F$42)-MIN(ROW('03.Muestra'!$D$8:$D$42))+1,""),ROW()-892)),"")</f>
        <v>https://www.comunidad.madrid/tacp/el-tribunal/presentacion-electronica-e-impresos-normalizados</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8</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Memorias</v>
      </c>
      <c r="C895" s="85" t="str" cm="1">
        <f t="array" ref="C895">IFERROR(INDEX('03.Muestra'!$F$8:$F$42,SMALL(IF("Página Web"='03.Muestra'!$D$8:$D$42,ROW('03.Muestra'!$F$8:$F$42)-MIN(ROW('03.Muestra'!$D$8:$D$42))+1,""),ROW()-892)),"")</f>
        <v>https://www.comunidad.madrid/tacp/memorias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Buscador de resoluciones</v>
      </c>
      <c r="C896" s="85" t="str" cm="1">
        <f t="array" ref="C896">IFERROR(INDEX('03.Muestra'!$F$8:$F$42,SMALL(IF("Página Web"='03.Muestra'!$D$8:$D$42,ROW('03.Muestra'!$F$8:$F$42)-MIN(ROW('03.Muestra'!$D$8:$D$42))+1,""),ROW()-892)),"")</f>
        <v>https://www.comunidad.madrid/tacp/busquedaresoluciones</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Novedades</v>
      </c>
      <c r="C897" s="85" t="str" cm="1">
        <f t="array" ref="C897">IFERROR(INDEX('03.Muestra'!$F$8:$F$42,SMALL(IF("Página Web"='03.Muestra'!$D$8:$D$42,ROW('03.Muestra'!$F$8:$F$42)-MIN(ROW('03.Muestra'!$D$8:$D$42))+1,""),ROW()-892)),"")</f>
        <v>https://www.comunidad.madrid/tacp/novedades/publicacion-recursos-especiales-en-perfil-contratante</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Aviso Legal</v>
      </c>
      <c r="C898" s="85" t="str" cm="1">
        <f t="array" ref="C898">IFERROR(INDEX('03.Muestra'!$F$8:$F$42,SMALL(IF("Página Web"='03.Muestra'!$D$8:$D$42,ROW('03.Muestra'!$F$8:$F$42)-MIN(ROW('03.Muestra'!$D$8:$D$42))+1,""),ROW()-892)),"")</f>
        <v>https://www.comunidad.madrid/tacp/aviso-legal</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Accesibilidad</v>
      </c>
      <c r="C899" s="85" t="str" cm="1">
        <f t="array" ref="C899">IFERROR(INDEX('03.Muestra'!$F$8:$F$42,SMALL(IF("Página Web"='03.Muestra'!$D$8:$D$42,ROW('03.Muestra'!$F$8:$F$42)-MIN(ROW('03.Muestra'!$D$8:$D$42))+1,""),ROW()-892)),"")</f>
        <v>https://www.comunidad.madrid/tacp/accesibilidad</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Mapa Web</v>
      </c>
      <c r="C900" s="85" t="str" cm="1">
        <f t="array" ref="C900">IFERROR(INDEX('03.Muestra'!$F$8:$F$42,SMALL(IF("Página Web"='03.Muestra'!$D$8:$D$42,ROW('03.Muestra'!$F$8:$F$42)-MIN(ROW('03.Muestra'!$D$8:$D$42))+1,""),ROW()-892)),"")</f>
        <v>https://www.comunidad.madrid/tacp/sitemap</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t="str" cm="1">
        <f t="array" ref="A901">IFERROR(INDEX('03.Muestra'!$B$8:$B$42,SMALL(IF("Página Web"='03.Muestra'!$D$8:$D$42,ROW('03.Muestra'!$B$8:$B$42)-MIN(ROW('03.Muestra'!$D$8:$D$42))+1,""),ROW()-892)),"")</f>
        <v/>
      </c>
      <c r="B901" s="85" t="str" cm="1">
        <f t="array" ref="B901">IFERROR(INDEX('03.Muestra'!$C$8:$C$42,SMALL(IF("Página Web"='03.Muestra'!$D$8:$D$42,ROW('03.Muestra'!$C$8:$C$42)-MIN(ROW('03.Muestra'!$D$8:$D$42))+1,""),ROW()-892)),"")</f>
        <v/>
      </c>
      <c r="C901" s="85" t="str" cm="1">
        <f t="array" ref="C901">IFERROR(INDEX('03.Muestra'!$F$8:$F$42,SMALL(IF("Página Web"='03.Muestra'!$D$8:$D$42,ROW('03.Muestra'!$F$8:$F$42)-MIN(ROW('03.Muestra'!$D$8:$D$42))+1,""),ROW()-892)),"")</f>
        <v/>
      </c>
      <c r="D901" s="99" t="str">
        <f t="shared" ref="D901:D927" si="47">IF(AND(B901&lt;&gt;"",C901&lt;&gt;""),"N/T","")</f>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t="str" cm="1">
        <f t="array" ref="A902">IFERROR(INDEX('03.Muestra'!$B$8:$B$42,SMALL(IF("Página Web"='03.Muestra'!$D$8:$D$42,ROW('03.Muestra'!$B$8:$B$42)-MIN(ROW('03.Muestra'!$D$8:$D$42))+1,""),ROW()-892)),"")</f>
        <v/>
      </c>
      <c r="B902" s="85" t="str" cm="1">
        <f t="array" ref="B902">IFERROR(INDEX('03.Muestra'!$C$8:$C$42,SMALL(IF("Página Web"='03.Muestra'!$D$8:$D$42,ROW('03.Muestra'!$C$8:$C$42)-MIN(ROW('03.Muestra'!$D$8:$D$42))+1,""),ROW()-892)),"")</f>
        <v/>
      </c>
      <c r="C902" s="85" t="str" cm="1">
        <f t="array" ref="C902">IFERROR(INDEX('03.Muestra'!$F$8:$F$42,SMALL(IF("Página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https://www.comunidad.madrid/tacp</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Presentación electrónica</v>
      </c>
      <c r="C932" s="85" t="str" cm="1">
        <f t="array" ref="C932">IFERROR(INDEX('03.Muestra'!$F$8:$F$42,SMALL(IF("Página Web"='03.Muestra'!$D$8:$D$42,ROW('03.Muestra'!$F$8:$F$42)-MIN(ROW('03.Muestra'!$D$8:$D$42))+1,""),ROW()-930)),"")</f>
        <v>https://www.comunidad.madrid/tacp/el-tribunal/presentacion-electronica-e-impresos-normalizados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8</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Memorias</v>
      </c>
      <c r="C933" s="85" t="str" cm="1">
        <f t="array" ref="C933">IFERROR(INDEX('03.Muestra'!$F$8:$F$42,SMALL(IF("Página Web"='03.Muestra'!$D$8:$D$42,ROW('03.Muestra'!$F$8:$F$42)-MIN(ROW('03.Muestra'!$D$8:$D$42))+1,""),ROW()-930)),"")</f>
        <v>https://www.comunidad.madrid/tacp/memorias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Buscador de resoluciones</v>
      </c>
      <c r="C934" s="85" t="str" cm="1">
        <f t="array" ref="C934">IFERROR(INDEX('03.Muestra'!$F$8:$F$42,SMALL(IF("Página Web"='03.Muestra'!$D$8:$D$42,ROW('03.Muestra'!$F$8:$F$42)-MIN(ROW('03.Muestra'!$D$8:$D$42))+1,""),ROW()-930)),"")</f>
        <v>https://www.comunidad.madrid/tacp/busquedaresoluciones</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Novedades</v>
      </c>
      <c r="C935" s="85" t="str" cm="1">
        <f t="array" ref="C935">IFERROR(INDEX('03.Muestra'!$F$8:$F$42,SMALL(IF("Página Web"='03.Muestra'!$D$8:$D$42,ROW('03.Muestra'!$F$8:$F$42)-MIN(ROW('03.Muestra'!$D$8:$D$42))+1,""),ROW()-930)),"")</f>
        <v>https://www.comunidad.madrid/tacp/novedades/publicacion-recursos-especiales-en-perfil-contratante</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Aviso Legal</v>
      </c>
      <c r="C936" s="85" t="str" cm="1">
        <f t="array" ref="C936">IFERROR(INDEX('03.Muestra'!$F$8:$F$42,SMALL(IF("Página Web"='03.Muestra'!$D$8:$D$42,ROW('03.Muestra'!$F$8:$F$42)-MIN(ROW('03.Muestra'!$D$8:$D$42))+1,""),ROW()-930)),"")</f>
        <v>https://www.comunidad.madrid/tacp/aviso-legal</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Accesibilidad</v>
      </c>
      <c r="C937" s="85" t="str" cm="1">
        <f t="array" ref="C937">IFERROR(INDEX('03.Muestra'!$F$8:$F$42,SMALL(IF("Página Web"='03.Muestra'!$D$8:$D$42,ROW('03.Muestra'!$F$8:$F$42)-MIN(ROW('03.Muestra'!$D$8:$D$42))+1,""),ROW()-930)),"")</f>
        <v>https://www.comunidad.madrid/tacp/accesibilidad</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Mapa Web</v>
      </c>
      <c r="C938" s="85" t="str" cm="1">
        <f t="array" ref="C938">IFERROR(INDEX('03.Muestra'!$F$8:$F$42,SMALL(IF("Página Web"='03.Muestra'!$D$8:$D$42,ROW('03.Muestra'!$F$8:$F$42)-MIN(ROW('03.Muestra'!$D$8:$D$42))+1,""),ROW()-930)),"")</f>
        <v>https://www.comunidad.madrid/tacp/sitemap</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t="str" cm="1">
        <f t="array" ref="A939">IFERROR(INDEX('03.Muestra'!$B$8:$B$42,SMALL(IF("Página Web"='03.Muestra'!$D$8:$D$42,ROW('03.Muestra'!$B$8:$B$42)-MIN(ROW('03.Muestra'!$D$8:$D$42))+1,""),ROW()-930)),"")</f>
        <v/>
      </c>
      <c r="B939" s="85" t="str" cm="1">
        <f t="array" ref="B939">IFERROR(INDEX('03.Muestra'!$C$8:$C$42,SMALL(IF("Página Web"='03.Muestra'!$D$8:$D$42,ROW('03.Muestra'!$C$8:$C$42)-MIN(ROW('03.Muestra'!$D$8:$D$42))+1,""),ROW()-930)),"")</f>
        <v/>
      </c>
      <c r="C939" s="85" t="str" cm="1">
        <f t="array" ref="C939">IFERROR(INDEX('03.Muestra'!$F$8:$F$42,SMALL(IF("Página Web"='03.Muestra'!$D$8:$D$42,ROW('03.Muestra'!$F$8:$F$42)-MIN(ROW('03.Muestra'!$D$8:$D$42))+1,""),ROW()-930)),"")</f>
        <v/>
      </c>
      <c r="D939" s="99" t="str">
        <f t="shared" ref="D939:D965" si="49">IF(AND(B939&lt;&gt;"",C939&lt;&gt;""),"N/T","")</f>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t="str" cm="1">
        <f t="array" ref="A940">IFERROR(INDEX('03.Muestra'!$B$8:$B$42,SMALL(IF("Página Web"='03.Muestra'!$D$8:$D$42,ROW('03.Muestra'!$B$8:$B$42)-MIN(ROW('03.Muestra'!$D$8:$D$42))+1,""),ROW()-930)),"")</f>
        <v/>
      </c>
      <c r="B940" s="85" t="str" cm="1">
        <f t="array" ref="B940">IFERROR(INDEX('03.Muestra'!$C$8:$C$42,SMALL(IF("Página Web"='03.Muestra'!$D$8:$D$42,ROW('03.Muestra'!$C$8:$C$42)-MIN(ROW('03.Muestra'!$D$8:$D$42))+1,""),ROW()-930)),"")</f>
        <v/>
      </c>
      <c r="C940" s="85" t="str" cm="1">
        <f t="array" ref="C940">IFERROR(INDEX('03.Muestra'!$F$8:$F$42,SMALL(IF("Página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https://www.comunidad.madrid/tacp</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Presentación electrónica</v>
      </c>
      <c r="C970" s="85" t="str" cm="1">
        <f t="array" ref="C970">IFERROR(INDEX('03.Muestra'!$F$8:$F$42,SMALL(IF("Página Web"='03.Muestra'!$D$8:$D$42,ROW('03.Muestra'!$F$8:$F$42)-MIN(ROW('03.Muestra'!$D$8:$D$42))+1,""),ROW()-968)),"")</f>
        <v>https://www.comunidad.madrid/tacp/el-tribunal/presentacion-electronica-e-impresos-normalizados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8</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Memorias</v>
      </c>
      <c r="C971" s="85" t="str" cm="1">
        <f t="array" ref="C971">IFERROR(INDEX('03.Muestra'!$F$8:$F$42,SMALL(IF("Página Web"='03.Muestra'!$D$8:$D$42,ROW('03.Muestra'!$F$8:$F$42)-MIN(ROW('03.Muestra'!$D$8:$D$42))+1,""),ROW()-968)),"")</f>
        <v>https://www.comunidad.madrid/tacp/memorias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Buscador de resoluciones</v>
      </c>
      <c r="C972" s="85" t="str" cm="1">
        <f t="array" ref="C972">IFERROR(INDEX('03.Muestra'!$F$8:$F$42,SMALL(IF("Página Web"='03.Muestra'!$D$8:$D$42,ROW('03.Muestra'!$F$8:$F$42)-MIN(ROW('03.Muestra'!$D$8:$D$42))+1,""),ROW()-968)),"")</f>
        <v>https://www.comunidad.madrid/tacp/busquedaresoluciones</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Novedades</v>
      </c>
      <c r="C973" s="85" t="str" cm="1">
        <f t="array" ref="C973">IFERROR(INDEX('03.Muestra'!$F$8:$F$42,SMALL(IF("Página Web"='03.Muestra'!$D$8:$D$42,ROW('03.Muestra'!$F$8:$F$42)-MIN(ROW('03.Muestra'!$D$8:$D$42))+1,""),ROW()-968)),"")</f>
        <v>https://www.comunidad.madrid/tacp/novedades/publicacion-recursos-especiales-en-perfil-contratante</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Aviso Legal</v>
      </c>
      <c r="C974" s="85" t="str" cm="1">
        <f t="array" ref="C974">IFERROR(INDEX('03.Muestra'!$F$8:$F$42,SMALL(IF("Página Web"='03.Muestra'!$D$8:$D$42,ROW('03.Muestra'!$F$8:$F$42)-MIN(ROW('03.Muestra'!$D$8:$D$42))+1,""),ROW()-968)),"")</f>
        <v>https://www.comunidad.madrid/tacp/aviso-legal</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Accesibilidad</v>
      </c>
      <c r="C975" s="85" t="str" cm="1">
        <f t="array" ref="C975">IFERROR(INDEX('03.Muestra'!$F$8:$F$42,SMALL(IF("Página Web"='03.Muestra'!$D$8:$D$42,ROW('03.Muestra'!$F$8:$F$42)-MIN(ROW('03.Muestra'!$D$8:$D$42))+1,""),ROW()-968)),"")</f>
        <v>https://www.comunidad.madrid/tacp/accesibilidad</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Mapa Web</v>
      </c>
      <c r="C976" s="85" t="str" cm="1">
        <f t="array" ref="C976">IFERROR(INDEX('03.Muestra'!$F$8:$F$42,SMALL(IF("Página Web"='03.Muestra'!$D$8:$D$42,ROW('03.Muestra'!$F$8:$F$42)-MIN(ROW('03.Muestra'!$D$8:$D$42))+1,""),ROW()-968)),"")</f>
        <v>https://www.comunidad.madrid/tacp/sitemap</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t="str" cm="1">
        <f t="array" ref="A977">IFERROR(INDEX('03.Muestra'!$B$8:$B$42,SMALL(IF("Página Web"='03.Muestra'!$D$8:$D$42,ROW('03.Muestra'!$B$8:$B$42)-MIN(ROW('03.Muestra'!$D$8:$D$42))+1,""),ROW()-968)),"")</f>
        <v/>
      </c>
      <c r="B977" s="85" t="str" cm="1">
        <f t="array" ref="B977">IFERROR(INDEX('03.Muestra'!$C$8:$C$42,SMALL(IF("Página Web"='03.Muestra'!$D$8:$D$42,ROW('03.Muestra'!$C$8:$C$42)-MIN(ROW('03.Muestra'!$D$8:$D$42))+1,""),ROW()-968)),"")</f>
        <v/>
      </c>
      <c r="C977" s="85" t="str" cm="1">
        <f t="array" ref="C977">IFERROR(INDEX('03.Muestra'!$F$8:$F$42,SMALL(IF("Página Web"='03.Muestra'!$D$8:$D$42,ROW('03.Muestra'!$F$8:$F$42)-MIN(ROW('03.Muestra'!$D$8:$D$42))+1,""),ROW()-968)),"")</f>
        <v/>
      </c>
      <c r="D977" s="99" t="str">
        <f t="shared" ref="D977:D1003" si="51">IF(AND(B977&lt;&gt;"",C977&lt;&gt;""),"N/T","")</f>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t="str" cm="1">
        <f t="array" ref="A978">IFERROR(INDEX('03.Muestra'!$B$8:$B$42,SMALL(IF("Página Web"='03.Muestra'!$D$8:$D$42,ROW('03.Muestra'!$B$8:$B$42)-MIN(ROW('03.Muestra'!$D$8:$D$42))+1,""),ROW()-968)),"")</f>
        <v/>
      </c>
      <c r="B978" s="85" t="str" cm="1">
        <f t="array" ref="B978">IFERROR(INDEX('03.Muestra'!$C$8:$C$42,SMALL(IF("Página Web"='03.Muestra'!$D$8:$D$42,ROW('03.Muestra'!$C$8:$C$42)-MIN(ROW('03.Muestra'!$D$8:$D$42))+1,""),ROW()-968)),"")</f>
        <v/>
      </c>
      <c r="C978" s="85" t="str" cm="1">
        <f t="array" ref="C978">IFERROR(INDEX('03.Muestra'!$F$8:$F$42,SMALL(IF("Página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https://www.comunidad.madrid/tacp</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Presentación electrónica</v>
      </c>
      <c r="C1008" s="85" t="str" cm="1">
        <f t="array" ref="C1008">IFERROR(INDEX('03.Muestra'!$F$8:$F$42,SMALL(IF("Página Web"='03.Muestra'!$D$8:$D$42,ROW('03.Muestra'!$F$8:$F$42)-MIN(ROW('03.Muestra'!$D$8:$D$42))+1,""),ROW()-1006)),"")</f>
        <v>https://www.comunidad.madrid/tacp/el-tribunal/presentacion-electronica-e-impresos-normalizados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8</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Memorias</v>
      </c>
      <c r="C1009" s="85" t="str" cm="1">
        <f t="array" ref="C1009">IFERROR(INDEX('03.Muestra'!$F$8:$F$42,SMALL(IF("Página Web"='03.Muestra'!$D$8:$D$42,ROW('03.Muestra'!$F$8:$F$42)-MIN(ROW('03.Muestra'!$D$8:$D$42))+1,""),ROW()-1006)),"")</f>
        <v>https://www.comunidad.madrid/tacp/memorias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Buscador de resoluciones</v>
      </c>
      <c r="C1010" s="85" t="str" cm="1">
        <f t="array" ref="C1010">IFERROR(INDEX('03.Muestra'!$F$8:$F$42,SMALL(IF("Página Web"='03.Muestra'!$D$8:$D$42,ROW('03.Muestra'!$F$8:$F$42)-MIN(ROW('03.Muestra'!$D$8:$D$42))+1,""),ROW()-1006)),"")</f>
        <v>https://www.comunidad.madrid/tacp/busquedaresoluciones</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Novedades</v>
      </c>
      <c r="C1011" s="85" t="str" cm="1">
        <f t="array" ref="C1011">IFERROR(INDEX('03.Muestra'!$F$8:$F$42,SMALL(IF("Página Web"='03.Muestra'!$D$8:$D$42,ROW('03.Muestra'!$F$8:$F$42)-MIN(ROW('03.Muestra'!$D$8:$D$42))+1,""),ROW()-1006)),"")</f>
        <v>https://www.comunidad.madrid/tacp/novedades/publicacion-recursos-especiales-en-perfil-contratante</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Aviso Legal</v>
      </c>
      <c r="C1012" s="85" t="str" cm="1">
        <f t="array" ref="C1012">IFERROR(INDEX('03.Muestra'!$F$8:$F$42,SMALL(IF("Página Web"='03.Muestra'!$D$8:$D$42,ROW('03.Muestra'!$F$8:$F$42)-MIN(ROW('03.Muestra'!$D$8:$D$42))+1,""),ROW()-1006)),"")</f>
        <v>https://www.comunidad.madrid/tacp/aviso-legal</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Accesibilidad</v>
      </c>
      <c r="C1013" s="85" t="str" cm="1">
        <f t="array" ref="C1013">IFERROR(INDEX('03.Muestra'!$F$8:$F$42,SMALL(IF("Página Web"='03.Muestra'!$D$8:$D$42,ROW('03.Muestra'!$F$8:$F$42)-MIN(ROW('03.Muestra'!$D$8:$D$42))+1,""),ROW()-1006)),"")</f>
        <v>https://www.comunidad.madrid/tacp/accesibilidad</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Mapa Web</v>
      </c>
      <c r="C1014" s="85" t="str" cm="1">
        <f t="array" ref="C1014">IFERROR(INDEX('03.Muestra'!$F$8:$F$42,SMALL(IF("Página Web"='03.Muestra'!$D$8:$D$42,ROW('03.Muestra'!$F$8:$F$42)-MIN(ROW('03.Muestra'!$D$8:$D$42))+1,""),ROW()-1006)),"")</f>
        <v>https://www.comunidad.madrid/tacp/sitemap</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t="str" cm="1">
        <f t="array" ref="A1015">IFERROR(INDEX('03.Muestra'!$B$8:$B$42,SMALL(IF("Página Web"='03.Muestra'!$D$8:$D$42,ROW('03.Muestra'!$B$8:$B$42)-MIN(ROW('03.Muestra'!$D$8:$D$42))+1,""),ROW()-1006)),"")</f>
        <v/>
      </c>
      <c r="B1015" s="85" t="str" cm="1">
        <f t="array" ref="B1015">IFERROR(INDEX('03.Muestra'!$C$8:$C$42,SMALL(IF("Página Web"='03.Muestra'!$D$8:$D$42,ROW('03.Muestra'!$C$8:$C$42)-MIN(ROW('03.Muestra'!$D$8:$D$42))+1,""),ROW()-1006)),"")</f>
        <v/>
      </c>
      <c r="C1015" s="85" t="str" cm="1">
        <f t="array" ref="C1015">IFERROR(INDEX('03.Muestra'!$F$8:$F$42,SMALL(IF("Página Web"='03.Muestra'!$D$8:$D$42,ROW('03.Muestra'!$F$8:$F$42)-MIN(ROW('03.Muestra'!$D$8:$D$42))+1,""),ROW()-1006)),"")</f>
        <v/>
      </c>
      <c r="D1015" s="99" t="str">
        <f t="shared" ref="D1015:D1041" si="53">IF(AND(B1015&lt;&gt;"",C1015&lt;&gt;""),"N/T","")</f>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t="str" cm="1">
        <f t="array" ref="A1016">IFERROR(INDEX('03.Muestra'!$B$8:$B$42,SMALL(IF("Página Web"='03.Muestra'!$D$8:$D$42,ROW('03.Muestra'!$B$8:$B$42)-MIN(ROW('03.Muestra'!$D$8:$D$42))+1,""),ROW()-1006)),"")</f>
        <v/>
      </c>
      <c r="B1016" s="85" t="str" cm="1">
        <f t="array" ref="B1016">IFERROR(INDEX('03.Muestra'!$C$8:$C$42,SMALL(IF("Página Web"='03.Muestra'!$D$8:$D$42,ROW('03.Muestra'!$C$8:$C$42)-MIN(ROW('03.Muestra'!$D$8:$D$42))+1,""),ROW()-1006)),"")</f>
        <v/>
      </c>
      <c r="C1016" s="85" t="str" cm="1">
        <f t="array" ref="C1016">IFERROR(INDEX('03.Muestra'!$F$8:$F$42,SMALL(IF("Página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https://www.comunidad.madrid/tacp</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Presentación electrónica</v>
      </c>
      <c r="C1046" s="85" t="str" cm="1">
        <f t="array" ref="C1046">IFERROR(INDEX('03.Muestra'!$F$8:$F$42,SMALL(IF("Página Web"='03.Muestra'!$D$8:$D$42,ROW('03.Muestra'!$F$8:$F$42)-MIN(ROW('03.Muestra'!$D$8:$D$42))+1,""),ROW()-1044)),"")</f>
        <v>https://www.comunidad.madrid/tacp/el-tribunal/presentacion-electronica-e-impresos-normalizados</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6</v>
      </c>
      <c r="J1046" s="91">
        <f ca="1">COUNTIF($D1045:INDIRECT("$D" &amp;  SUM(ROW()-1,'03.Muestra'!$D$45)-1),J1045)</f>
        <v>2</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Memorias</v>
      </c>
      <c r="C1047" s="85" t="str" cm="1">
        <f t="array" ref="C1047">IFERROR(INDEX('03.Muestra'!$F$8:$F$42,SMALL(IF("Página Web"='03.Muestra'!$D$8:$D$42,ROW('03.Muestra'!$F$8:$F$42)-MIN(ROW('03.Muestra'!$D$8:$D$42))+1,""),ROW()-1044)),"")</f>
        <v>https://www.comunidad.madrid/tacp/memorias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Buscador de resoluciones</v>
      </c>
      <c r="C1048" s="85" t="str" cm="1">
        <f t="array" ref="C1048">IFERROR(INDEX('03.Muestra'!$F$8:$F$42,SMALL(IF("Página Web"='03.Muestra'!$D$8:$D$42,ROW('03.Muestra'!$F$8:$F$42)-MIN(ROW('03.Muestra'!$D$8:$D$42))+1,""),ROW()-1044)),"")</f>
        <v>https://www.comunidad.madrid/tacp/busquedaresoluciones</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Novedades</v>
      </c>
      <c r="C1049" s="85" t="str" cm="1">
        <f t="array" ref="C1049">IFERROR(INDEX('03.Muestra'!$F$8:$F$42,SMALL(IF("Página Web"='03.Muestra'!$D$8:$D$42,ROW('03.Muestra'!$F$8:$F$42)-MIN(ROW('03.Muestra'!$D$8:$D$42))+1,""),ROW()-1044)),"")</f>
        <v>https://www.comunidad.madrid/tacp/novedades/publicacion-recursos-especiales-en-perfil-contratante</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Aviso Legal</v>
      </c>
      <c r="C1050" s="85" t="str" cm="1">
        <f t="array" ref="C1050">IFERROR(INDEX('03.Muestra'!$F$8:$F$42,SMALL(IF("Página Web"='03.Muestra'!$D$8:$D$42,ROW('03.Muestra'!$F$8:$F$42)-MIN(ROW('03.Muestra'!$D$8:$D$42))+1,""),ROW()-1044)),"")</f>
        <v>https://www.comunidad.madrid/tacp/aviso-legal</v>
      </c>
      <c r="D1050" s="99" t="s">
        <v>92</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Accesibilidad</v>
      </c>
      <c r="C1051" s="85" t="str" cm="1">
        <f t="array" ref="C1051">IFERROR(INDEX('03.Muestra'!$F$8:$F$42,SMALL(IF("Página Web"='03.Muestra'!$D$8:$D$42,ROW('03.Muestra'!$F$8:$F$42)-MIN(ROW('03.Muestra'!$D$8:$D$42))+1,""),ROW()-1044)),"")</f>
        <v>https://www.comunidad.madrid/tacp/accesibilidad</v>
      </c>
      <c r="D1051" s="99" t="s">
        <v>92</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Mapa Web</v>
      </c>
      <c r="C1052" s="85" t="str" cm="1">
        <f t="array" ref="C1052">IFERROR(INDEX('03.Muestra'!$F$8:$F$42,SMALL(IF("Página Web"='03.Muestra'!$D$8:$D$42,ROW('03.Muestra'!$F$8:$F$42)-MIN(ROW('03.Muestra'!$D$8:$D$42))+1,""),ROW()-1044)),"")</f>
        <v>https://www.comunidad.madrid/tacp/sitemap</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t="str" cm="1">
        <f t="array" ref="A1053">IFERROR(INDEX('03.Muestra'!$B$8:$B$42,SMALL(IF("Página Web"='03.Muestra'!$D$8:$D$42,ROW('03.Muestra'!$B$8:$B$42)-MIN(ROW('03.Muestra'!$D$8:$D$42))+1,""),ROW()-1044)),"")</f>
        <v/>
      </c>
      <c r="B1053" s="85" t="str" cm="1">
        <f t="array" ref="B1053">IFERROR(INDEX('03.Muestra'!$C$8:$C$42,SMALL(IF("Página Web"='03.Muestra'!$D$8:$D$42,ROW('03.Muestra'!$C$8:$C$42)-MIN(ROW('03.Muestra'!$D$8:$D$42))+1,""),ROW()-1044)),"")</f>
        <v/>
      </c>
      <c r="C1053" s="85" t="str" cm="1">
        <f t="array" ref="C1053">IFERROR(INDEX('03.Muestra'!$F$8:$F$42,SMALL(IF("Página Web"='03.Muestra'!$D$8:$D$42,ROW('03.Muestra'!$F$8:$F$42)-MIN(ROW('03.Muestra'!$D$8:$D$42))+1,""),ROW()-1044)),"")</f>
        <v/>
      </c>
      <c r="D1053" s="99" t="str">
        <f t="shared" ref="D1053:D1079" si="55">IF(AND(B1053&lt;&gt;"",C1053&lt;&gt;""),"N/T","")</f>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t="str" cm="1">
        <f t="array" ref="A1054">IFERROR(INDEX('03.Muestra'!$B$8:$B$42,SMALL(IF("Página Web"='03.Muestra'!$D$8:$D$42,ROW('03.Muestra'!$B$8:$B$42)-MIN(ROW('03.Muestra'!$D$8:$D$42))+1,""),ROW()-1044)),"")</f>
        <v/>
      </c>
      <c r="B1054" s="85" t="str" cm="1">
        <f t="array" ref="B1054">IFERROR(INDEX('03.Muestra'!$C$8:$C$42,SMALL(IF("Página Web"='03.Muestra'!$D$8:$D$42,ROW('03.Muestra'!$C$8:$C$42)-MIN(ROW('03.Muestra'!$D$8:$D$42))+1,""),ROW()-1044)),"")</f>
        <v/>
      </c>
      <c r="C1054" s="85" t="str" cm="1">
        <f t="array" ref="C1054">IFERROR(INDEX('03.Muestra'!$F$8:$F$42,SMALL(IF("Página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https://www.comunidad.madrid/tacp</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Presentación electrónica</v>
      </c>
      <c r="C1084" s="85" t="str" cm="1">
        <f t="array" ref="C1084">IFERROR(INDEX('03.Muestra'!$F$8:$F$42,SMALL(IF("Página Web"='03.Muestra'!$D$8:$D$42,ROW('03.Muestra'!$F$8:$F$42)-MIN(ROW('03.Muestra'!$D$8:$D$42))+1,""),ROW()-1082)),"")</f>
        <v>https://www.comunidad.madrid/tacp/el-tribunal/presentacion-electronica-e-impresos-normalizados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8</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Memorias</v>
      </c>
      <c r="C1085" s="85" t="str" cm="1">
        <f t="array" ref="C1085">IFERROR(INDEX('03.Muestra'!$F$8:$F$42,SMALL(IF("Página Web"='03.Muestra'!$D$8:$D$42,ROW('03.Muestra'!$F$8:$F$42)-MIN(ROW('03.Muestra'!$D$8:$D$42))+1,""),ROW()-1082)),"")</f>
        <v>https://www.comunidad.madrid/tacp/memorias</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Buscador de resoluciones</v>
      </c>
      <c r="C1086" s="85" t="str" cm="1">
        <f t="array" ref="C1086">IFERROR(INDEX('03.Muestra'!$F$8:$F$42,SMALL(IF("Página Web"='03.Muestra'!$D$8:$D$42,ROW('03.Muestra'!$F$8:$F$42)-MIN(ROW('03.Muestra'!$D$8:$D$42))+1,""),ROW()-1082)),"")</f>
        <v>https://www.comunidad.madrid/tacp/busquedaresoluciones</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Novedades</v>
      </c>
      <c r="C1087" s="85" t="str" cm="1">
        <f t="array" ref="C1087">IFERROR(INDEX('03.Muestra'!$F$8:$F$42,SMALL(IF("Página Web"='03.Muestra'!$D$8:$D$42,ROW('03.Muestra'!$F$8:$F$42)-MIN(ROW('03.Muestra'!$D$8:$D$42))+1,""),ROW()-1082)),"")</f>
        <v>https://www.comunidad.madrid/tacp/novedades/publicacion-recursos-especiales-en-perfil-contratante</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Aviso Legal</v>
      </c>
      <c r="C1088" s="85" t="str" cm="1">
        <f t="array" ref="C1088">IFERROR(INDEX('03.Muestra'!$F$8:$F$42,SMALL(IF("Página Web"='03.Muestra'!$D$8:$D$42,ROW('03.Muestra'!$F$8:$F$42)-MIN(ROW('03.Muestra'!$D$8:$D$42))+1,""),ROW()-1082)),"")</f>
        <v>https://www.comunidad.madrid/tacp/aviso-legal</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Accesibilidad</v>
      </c>
      <c r="C1089" s="85" t="str" cm="1">
        <f t="array" ref="C1089">IFERROR(INDEX('03.Muestra'!$F$8:$F$42,SMALL(IF("Página Web"='03.Muestra'!$D$8:$D$42,ROW('03.Muestra'!$F$8:$F$42)-MIN(ROW('03.Muestra'!$D$8:$D$42))+1,""),ROW()-1082)),"")</f>
        <v>https://www.comunidad.madrid/tacp/accesibilidad</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Mapa Web</v>
      </c>
      <c r="C1090" s="85" t="str" cm="1">
        <f t="array" ref="C1090">IFERROR(INDEX('03.Muestra'!$F$8:$F$42,SMALL(IF("Página Web"='03.Muestra'!$D$8:$D$42,ROW('03.Muestra'!$F$8:$F$42)-MIN(ROW('03.Muestra'!$D$8:$D$42))+1,""),ROW()-1082)),"")</f>
        <v>https://www.comunidad.madrid/tacp/sitemap</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t="str" cm="1">
        <f t="array" ref="A1091">IFERROR(INDEX('03.Muestra'!$B$8:$B$42,SMALL(IF("Página Web"='03.Muestra'!$D$8:$D$42,ROW('03.Muestra'!$B$8:$B$42)-MIN(ROW('03.Muestra'!$D$8:$D$42))+1,""),ROW()-1082)),"")</f>
        <v/>
      </c>
      <c r="B1091" s="85" t="str" cm="1">
        <f t="array" ref="B1091">IFERROR(INDEX('03.Muestra'!$C$8:$C$42,SMALL(IF("Página Web"='03.Muestra'!$D$8:$D$42,ROW('03.Muestra'!$C$8:$C$42)-MIN(ROW('03.Muestra'!$D$8:$D$42))+1,""),ROW()-1082)),"")</f>
        <v/>
      </c>
      <c r="C1091" s="85" t="str" cm="1">
        <f t="array" ref="C1091">IFERROR(INDEX('03.Muestra'!$F$8:$F$42,SMALL(IF("Página Web"='03.Muestra'!$D$8:$D$42,ROW('03.Muestra'!$F$8:$F$42)-MIN(ROW('03.Muestra'!$D$8:$D$42))+1,""),ROW()-1082)),"")</f>
        <v/>
      </c>
      <c r="D1091" s="99" t="str">
        <f t="shared" ref="D1091:D1117" si="57">IF(AND(B1091&lt;&gt;"",C1091&lt;&gt;""),"N/T","")</f>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t="str" cm="1">
        <f t="array" ref="A1092">IFERROR(INDEX('03.Muestra'!$B$8:$B$42,SMALL(IF("Página Web"='03.Muestra'!$D$8:$D$42,ROW('03.Muestra'!$B$8:$B$42)-MIN(ROW('03.Muestra'!$D$8:$D$42))+1,""),ROW()-1082)),"")</f>
        <v/>
      </c>
      <c r="B1092" s="85" t="str" cm="1">
        <f t="array" ref="B1092">IFERROR(INDEX('03.Muestra'!$C$8:$C$42,SMALL(IF("Página Web"='03.Muestra'!$D$8:$D$42,ROW('03.Muestra'!$C$8:$C$42)-MIN(ROW('03.Muestra'!$D$8:$D$42))+1,""),ROW()-1082)),"")</f>
        <v/>
      </c>
      <c r="C1092" s="85" t="str" cm="1">
        <f t="array" ref="C1092">IFERROR(INDEX('03.Muestra'!$F$8:$F$42,SMALL(IF("Página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https://www.comunidad.madrid/tacp</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Presentación electrónica</v>
      </c>
      <c r="C1122" s="85" t="str" cm="1">
        <f t="array" ref="C1122">IFERROR(INDEX('03.Muestra'!$F$8:$F$42,SMALL(IF("Página Web"='03.Muestra'!$D$8:$D$42,ROW('03.Muestra'!$F$8:$F$42)-MIN(ROW('03.Muestra'!$D$8:$D$42))+1,""),ROW()-1120)),"")</f>
        <v>https://www.comunidad.madrid/tacp/el-tribunal/presentacion-electronica-e-impresos-normalizados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8</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Memorias</v>
      </c>
      <c r="C1123" s="85" t="str" cm="1">
        <f t="array" ref="C1123">IFERROR(INDEX('03.Muestra'!$F$8:$F$42,SMALL(IF("Página Web"='03.Muestra'!$D$8:$D$42,ROW('03.Muestra'!$F$8:$F$42)-MIN(ROW('03.Muestra'!$D$8:$D$42))+1,""),ROW()-1120)),"")</f>
        <v>https://www.comunidad.madrid/tacp/memorias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Buscador de resoluciones</v>
      </c>
      <c r="C1124" s="85" t="str" cm="1">
        <f t="array" ref="C1124">IFERROR(INDEX('03.Muestra'!$F$8:$F$42,SMALL(IF("Página Web"='03.Muestra'!$D$8:$D$42,ROW('03.Muestra'!$F$8:$F$42)-MIN(ROW('03.Muestra'!$D$8:$D$42))+1,""),ROW()-1120)),"")</f>
        <v>https://www.comunidad.madrid/tacp/busquedaresoluciones</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Novedades</v>
      </c>
      <c r="C1125" s="85" t="str" cm="1">
        <f t="array" ref="C1125">IFERROR(INDEX('03.Muestra'!$F$8:$F$42,SMALL(IF("Página Web"='03.Muestra'!$D$8:$D$42,ROW('03.Muestra'!$F$8:$F$42)-MIN(ROW('03.Muestra'!$D$8:$D$42))+1,""),ROW()-1120)),"")</f>
        <v>https://www.comunidad.madrid/tacp/novedades/publicacion-recursos-especiales-en-perfil-contratante</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Aviso Legal</v>
      </c>
      <c r="C1126" s="85" t="str" cm="1">
        <f t="array" ref="C1126">IFERROR(INDEX('03.Muestra'!$F$8:$F$42,SMALL(IF("Página Web"='03.Muestra'!$D$8:$D$42,ROW('03.Muestra'!$F$8:$F$42)-MIN(ROW('03.Muestra'!$D$8:$D$42))+1,""),ROW()-1120)),"")</f>
        <v>https://www.comunidad.madrid/tacp/aviso-legal</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Accesibilidad</v>
      </c>
      <c r="C1127" s="85" t="str" cm="1">
        <f t="array" ref="C1127">IFERROR(INDEX('03.Muestra'!$F$8:$F$42,SMALL(IF("Página Web"='03.Muestra'!$D$8:$D$42,ROW('03.Muestra'!$F$8:$F$42)-MIN(ROW('03.Muestra'!$D$8:$D$42))+1,""),ROW()-1120)),"")</f>
        <v>https://www.comunidad.madrid/tacp/accesibilidad</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Mapa Web</v>
      </c>
      <c r="C1128" s="85" t="str" cm="1">
        <f t="array" ref="C1128">IFERROR(INDEX('03.Muestra'!$F$8:$F$42,SMALL(IF("Página Web"='03.Muestra'!$D$8:$D$42,ROW('03.Muestra'!$F$8:$F$42)-MIN(ROW('03.Muestra'!$D$8:$D$42))+1,""),ROW()-1120)),"")</f>
        <v>https://www.comunidad.madrid/tacp/sitemap</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t="str" cm="1">
        <f t="array" ref="A1129">IFERROR(INDEX('03.Muestra'!$B$8:$B$42,SMALL(IF("Página Web"='03.Muestra'!$D$8:$D$42,ROW('03.Muestra'!$B$8:$B$42)-MIN(ROW('03.Muestra'!$D$8:$D$42))+1,""),ROW()-1120)),"")</f>
        <v/>
      </c>
      <c r="B1129" s="85" t="str" cm="1">
        <f t="array" ref="B1129">IFERROR(INDEX('03.Muestra'!$C$8:$C$42,SMALL(IF("Página Web"='03.Muestra'!$D$8:$D$42,ROW('03.Muestra'!$C$8:$C$42)-MIN(ROW('03.Muestra'!$D$8:$D$42))+1,""),ROW()-1120)),"")</f>
        <v/>
      </c>
      <c r="C1129" s="85" t="str" cm="1">
        <f t="array" ref="C1129">IFERROR(INDEX('03.Muestra'!$F$8:$F$42,SMALL(IF("Página Web"='03.Muestra'!$D$8:$D$42,ROW('03.Muestra'!$F$8:$F$42)-MIN(ROW('03.Muestra'!$D$8:$D$42))+1,""),ROW()-1120)),"")</f>
        <v/>
      </c>
      <c r="D1129" s="99" t="str">
        <f t="shared" ref="D1129:D1155" si="59">IF(AND(B1129&lt;&gt;"",C1129&lt;&gt;""),"N/T","")</f>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t="str" cm="1">
        <f t="array" ref="A1130">IFERROR(INDEX('03.Muestra'!$B$8:$B$42,SMALL(IF("Página Web"='03.Muestra'!$D$8:$D$42,ROW('03.Muestra'!$B$8:$B$42)-MIN(ROW('03.Muestra'!$D$8:$D$42))+1,""),ROW()-1120)),"")</f>
        <v/>
      </c>
      <c r="B1130" s="85" t="str" cm="1">
        <f t="array" ref="B1130">IFERROR(INDEX('03.Muestra'!$C$8:$C$42,SMALL(IF("Página Web"='03.Muestra'!$D$8:$D$42,ROW('03.Muestra'!$C$8:$C$42)-MIN(ROW('03.Muestra'!$D$8:$D$42))+1,""),ROW()-1120)),"")</f>
        <v/>
      </c>
      <c r="C1130" s="85" t="str" cm="1">
        <f t="array" ref="C1130">IFERROR(INDEX('03.Muestra'!$F$8:$F$42,SMALL(IF("Página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https://www.comunidad.madrid/tacp</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Presentación electrónica</v>
      </c>
      <c r="C1160" s="85" t="str" cm="1">
        <f t="array" ref="C1160">IFERROR(INDEX('03.Muestra'!$F$8:$F$42,SMALL(IF("Página Web"='03.Muestra'!$D$8:$D$42,ROW('03.Muestra'!$F$8:$F$42)-MIN(ROW('03.Muestra'!$D$8:$D$42))+1,""),ROW()-1158)),"")</f>
        <v>https://www.comunidad.madrid/tacp/el-tribunal/presentacion-electronica-e-impresos-normalizados</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1</v>
      </c>
      <c r="J1160" s="91">
        <f ca="1">COUNTIF($D1159:INDIRECT("$D" &amp;  SUM(ROW()-1,'03.Muestra'!$D$45)-1),J1159)</f>
        <v>7</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Memorias</v>
      </c>
      <c r="C1161" s="85" t="str" cm="1">
        <f t="array" ref="C1161">IFERROR(INDEX('03.Muestra'!$F$8:$F$42,SMALL(IF("Página Web"='03.Muestra'!$D$8:$D$42,ROW('03.Muestra'!$F$8:$F$42)-MIN(ROW('03.Muestra'!$D$8:$D$42))+1,""),ROW()-1158)),"")</f>
        <v>https://www.comunidad.madrid/tacp/memorias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Buscador de resoluciones</v>
      </c>
      <c r="C1162" s="85" t="str" cm="1">
        <f t="array" ref="C1162">IFERROR(INDEX('03.Muestra'!$F$8:$F$42,SMALL(IF("Página Web"='03.Muestra'!$D$8:$D$42,ROW('03.Muestra'!$F$8:$F$42)-MIN(ROW('03.Muestra'!$D$8:$D$42))+1,""),ROW()-1158)),"")</f>
        <v>https://www.comunidad.madrid/tacp/busquedaresoluciones</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Novedades</v>
      </c>
      <c r="C1163" s="85" t="str" cm="1">
        <f t="array" ref="C1163">IFERROR(INDEX('03.Muestra'!$F$8:$F$42,SMALL(IF("Página Web"='03.Muestra'!$D$8:$D$42,ROW('03.Muestra'!$F$8:$F$42)-MIN(ROW('03.Muestra'!$D$8:$D$42))+1,""),ROW()-1158)),"")</f>
        <v>https://www.comunidad.madrid/tacp/novedades/publicacion-recursos-especiales-en-perfil-contratante</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Aviso Legal</v>
      </c>
      <c r="C1164" s="85" t="str" cm="1">
        <f t="array" ref="C1164">IFERROR(INDEX('03.Muestra'!$F$8:$F$42,SMALL(IF("Página Web"='03.Muestra'!$D$8:$D$42,ROW('03.Muestra'!$F$8:$F$42)-MIN(ROW('03.Muestra'!$D$8:$D$42))+1,""),ROW()-1158)),"")</f>
        <v>https://www.comunidad.madrid/tacp/aviso-legal</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Accesibilidad</v>
      </c>
      <c r="C1165" s="85" t="str" cm="1">
        <f t="array" ref="C1165">IFERROR(INDEX('03.Muestra'!$F$8:$F$42,SMALL(IF("Página Web"='03.Muestra'!$D$8:$D$42,ROW('03.Muestra'!$F$8:$F$42)-MIN(ROW('03.Muestra'!$D$8:$D$42))+1,""),ROW()-1158)),"")</f>
        <v>https://www.comunidad.madrid/tacp/accesibilidad</v>
      </c>
      <c r="D1165" s="99" t="s">
        <v>94</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Mapa Web</v>
      </c>
      <c r="C1166" s="85" t="str" cm="1">
        <f t="array" ref="C1166">IFERROR(INDEX('03.Muestra'!$F$8:$F$42,SMALL(IF("Página Web"='03.Muestra'!$D$8:$D$42,ROW('03.Muestra'!$F$8:$F$42)-MIN(ROW('03.Muestra'!$D$8:$D$42))+1,""),ROW()-1158)),"")</f>
        <v>https://www.comunidad.madrid/tacp/sitemap</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t="str" cm="1">
        <f t="array" ref="A1167">IFERROR(INDEX('03.Muestra'!$B$8:$B$42,SMALL(IF("Página Web"='03.Muestra'!$D$8:$D$42,ROW('03.Muestra'!$B$8:$B$42)-MIN(ROW('03.Muestra'!$D$8:$D$42))+1,""),ROW()-1158)),"")</f>
        <v/>
      </c>
      <c r="B1167" s="85" t="str" cm="1">
        <f t="array" ref="B1167">IFERROR(INDEX('03.Muestra'!$C$8:$C$42,SMALL(IF("Página Web"='03.Muestra'!$D$8:$D$42,ROW('03.Muestra'!$C$8:$C$42)-MIN(ROW('03.Muestra'!$D$8:$D$42))+1,""),ROW()-1158)),"")</f>
        <v/>
      </c>
      <c r="C1167" s="85" t="str" cm="1">
        <f t="array" ref="C1167">IFERROR(INDEX('03.Muestra'!$F$8:$F$42,SMALL(IF("Página Web"='03.Muestra'!$D$8:$D$42,ROW('03.Muestra'!$F$8:$F$42)-MIN(ROW('03.Muestra'!$D$8:$D$42))+1,""),ROW()-1158)),"")</f>
        <v/>
      </c>
      <c r="D1167" s="99" t="str">
        <f t="shared" ref="D1167:D1193" si="61">IF(AND(B1167&lt;&gt;"",C1167&lt;&gt;""),"N/T","")</f>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t="str" cm="1">
        <f t="array" ref="A1168">IFERROR(INDEX('03.Muestra'!$B$8:$B$42,SMALL(IF("Página Web"='03.Muestra'!$D$8:$D$42,ROW('03.Muestra'!$B$8:$B$42)-MIN(ROW('03.Muestra'!$D$8:$D$42))+1,""),ROW()-1158)),"")</f>
        <v/>
      </c>
      <c r="B1168" s="85" t="str" cm="1">
        <f t="array" ref="B1168">IFERROR(INDEX('03.Muestra'!$C$8:$C$42,SMALL(IF("Página Web"='03.Muestra'!$D$8:$D$42,ROW('03.Muestra'!$C$8:$C$42)-MIN(ROW('03.Muestra'!$D$8:$D$42))+1,""),ROW()-1158)),"")</f>
        <v/>
      </c>
      <c r="C1168" s="85" t="str" cm="1">
        <f t="array" ref="C1168">IFERROR(INDEX('03.Muestra'!$F$8:$F$42,SMALL(IF("Página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https://www.comunidad.madrid/tacp</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Presentación electrónica</v>
      </c>
      <c r="C1198" s="85" t="str" cm="1">
        <f t="array" ref="C1198">IFERROR(INDEX('03.Muestra'!$F$8:$F$42,SMALL(IF("Página Web"='03.Muestra'!$D$8:$D$42,ROW('03.Muestra'!$F$8:$F$42)-MIN(ROW('03.Muestra'!$D$8:$D$42))+1,""),ROW()-1196)),"")</f>
        <v>https://www.comunidad.madrid/tacp/el-tribunal/presentacion-electronica-e-impresos-normalizados</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8</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Memorias</v>
      </c>
      <c r="C1199" s="85" t="str" cm="1">
        <f t="array" ref="C1199">IFERROR(INDEX('03.Muestra'!$F$8:$F$42,SMALL(IF("Página Web"='03.Muestra'!$D$8:$D$42,ROW('03.Muestra'!$F$8:$F$42)-MIN(ROW('03.Muestra'!$D$8:$D$42))+1,""),ROW()-1196)),"")</f>
        <v>https://www.comunidad.madrid/tacp/memorias</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Buscador de resoluciones</v>
      </c>
      <c r="C1200" s="85" t="str" cm="1">
        <f t="array" ref="C1200">IFERROR(INDEX('03.Muestra'!$F$8:$F$42,SMALL(IF("Página Web"='03.Muestra'!$D$8:$D$42,ROW('03.Muestra'!$F$8:$F$42)-MIN(ROW('03.Muestra'!$D$8:$D$42))+1,""),ROW()-1196)),"")</f>
        <v>https://www.comunidad.madrid/tacp/busquedaresoluciones</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Novedades</v>
      </c>
      <c r="C1201" s="85" t="str" cm="1">
        <f t="array" ref="C1201">IFERROR(INDEX('03.Muestra'!$F$8:$F$42,SMALL(IF("Página Web"='03.Muestra'!$D$8:$D$42,ROW('03.Muestra'!$F$8:$F$42)-MIN(ROW('03.Muestra'!$D$8:$D$42))+1,""),ROW()-1196)),"")</f>
        <v>https://www.comunidad.madrid/tacp/novedades/publicacion-recursos-especiales-en-perfil-contratante</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Aviso Legal</v>
      </c>
      <c r="C1202" s="85" t="str" cm="1">
        <f t="array" ref="C1202">IFERROR(INDEX('03.Muestra'!$F$8:$F$42,SMALL(IF("Página Web"='03.Muestra'!$D$8:$D$42,ROW('03.Muestra'!$F$8:$F$42)-MIN(ROW('03.Muestra'!$D$8:$D$42))+1,""),ROW()-1196)),"")</f>
        <v>https://www.comunidad.madrid/tacp/aviso-legal</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Accesibilidad</v>
      </c>
      <c r="C1203" s="85" t="str" cm="1">
        <f t="array" ref="C1203">IFERROR(INDEX('03.Muestra'!$F$8:$F$42,SMALL(IF("Página Web"='03.Muestra'!$D$8:$D$42,ROW('03.Muestra'!$F$8:$F$42)-MIN(ROW('03.Muestra'!$D$8:$D$42))+1,""),ROW()-1196)),"")</f>
        <v>https://www.comunidad.madrid/tacp/accesibilidad</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Mapa Web</v>
      </c>
      <c r="C1204" s="85" t="str" cm="1">
        <f t="array" ref="C1204">IFERROR(INDEX('03.Muestra'!$F$8:$F$42,SMALL(IF("Página Web"='03.Muestra'!$D$8:$D$42,ROW('03.Muestra'!$F$8:$F$42)-MIN(ROW('03.Muestra'!$D$8:$D$42))+1,""),ROW()-1196)),"")</f>
        <v>https://www.comunidad.madrid/tacp/sitemap</v>
      </c>
      <c r="D1204" s="99" t="s">
        <v>94</v>
      </c>
      <c r="E1204" s="79" t="str">
        <f t="shared" si="62"/>
        <v/>
      </c>
      <c r="F1204" s="18"/>
      <c r="G1204" s="18"/>
      <c r="H1204" s="18"/>
      <c r="I1204" s="18"/>
      <c r="J1204" s="18"/>
      <c r="K1204" s="184"/>
      <c r="L1204" s="18"/>
    </row>
    <row r="1205" spans="1:12" ht="12" customHeight="1">
      <c r="A1205" s="39" t="str" cm="1">
        <f t="array" ref="A1205">IFERROR(INDEX('03.Muestra'!$B$8:$B$42,SMALL(IF("Página Web"='03.Muestra'!$D$8:$D$42,ROW('03.Muestra'!$B$8:$B$42)-MIN(ROW('03.Muestra'!$D$8:$D$42))+1,""),ROW()-1196)),"")</f>
        <v/>
      </c>
      <c r="B1205" s="85" t="str" cm="1">
        <f t="array" ref="B1205">IFERROR(INDEX('03.Muestra'!$C$8:$C$42,SMALL(IF("Página Web"='03.Muestra'!$D$8:$D$42,ROW('03.Muestra'!$C$8:$C$42)-MIN(ROW('03.Muestra'!$D$8:$D$42))+1,""),ROW()-1196)),"")</f>
        <v/>
      </c>
      <c r="C1205" s="85" t="str" cm="1">
        <f t="array" ref="C1205">IFERROR(INDEX('03.Muestra'!$F$8:$F$42,SMALL(IF("Página Web"='03.Muestra'!$D$8:$D$42,ROW('03.Muestra'!$F$8:$F$42)-MIN(ROW('03.Muestra'!$D$8:$D$42))+1,""),ROW()-1196)),"")</f>
        <v/>
      </c>
      <c r="D1205" s="99" t="str">
        <f t="shared" ref="D1205:D1231" si="63">IF(AND(B1205&lt;&gt;"",C1205&lt;&gt;""),"N/T","")</f>
        <v/>
      </c>
      <c r="E1205" s="79" t="str">
        <f t="shared" si="62"/>
        <v/>
      </c>
      <c r="F1205" s="18"/>
      <c r="G1205" s="18"/>
      <c r="H1205" s="18"/>
      <c r="I1205" s="18"/>
      <c r="J1205" s="18"/>
      <c r="K1205" s="184"/>
      <c r="L1205" s="18"/>
    </row>
    <row r="1206" spans="1:12" ht="12" customHeight="1">
      <c r="A1206" s="39" t="str" cm="1">
        <f t="array" ref="A1206">IFERROR(INDEX('03.Muestra'!$B$8:$B$42,SMALL(IF("Página Web"='03.Muestra'!$D$8:$D$42,ROW('03.Muestra'!$B$8:$B$42)-MIN(ROW('03.Muestra'!$D$8:$D$42))+1,""),ROW()-1196)),"")</f>
        <v/>
      </c>
      <c r="B1206" s="85" t="str" cm="1">
        <f t="array" ref="B1206">IFERROR(INDEX('03.Muestra'!$C$8:$C$42,SMALL(IF("Página Web"='03.Muestra'!$D$8:$D$42,ROW('03.Muestra'!$C$8:$C$42)-MIN(ROW('03.Muestra'!$D$8:$D$42))+1,""),ROW()-1196)),"")</f>
        <v/>
      </c>
      <c r="C1206" s="85" t="str" cm="1">
        <f t="array" ref="C1206">IFERROR(INDEX('03.Muestra'!$F$8:$F$42,SMALL(IF("Página Web"='03.Muestra'!$D$8:$D$42,ROW('03.Muestra'!$F$8:$F$42)-MIN(ROW('03.Muestra'!$D$8:$D$42))+1,""),ROW()-1196)),"")</f>
        <v/>
      </c>
      <c r="D1206" s="99" t="str">
        <f t="shared" si="63"/>
        <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si="63"/>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https://www.comunidad.madrid/tacp</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Presentación electrónica</v>
      </c>
      <c r="C1236" s="85" t="str" cm="1">
        <f t="array" ref="C1236">IFERROR(INDEX('03.Muestra'!$F$8:$F$42,SMALL(IF("Página Web"='03.Muestra'!$D$8:$D$42,ROW('03.Muestra'!$F$8:$F$42)-MIN(ROW('03.Muestra'!$D$8:$D$42))+1,""),ROW()-1234)),"")</f>
        <v>https://www.comunidad.madrid/tacp/el-tribunal/presentacion-electronica-e-impresos-normalizados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8</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Memorias</v>
      </c>
      <c r="C1237" s="85" t="str" cm="1">
        <f t="array" ref="C1237">IFERROR(INDEX('03.Muestra'!$F$8:$F$42,SMALL(IF("Página Web"='03.Muestra'!$D$8:$D$42,ROW('03.Muestra'!$F$8:$F$42)-MIN(ROW('03.Muestra'!$D$8:$D$42))+1,""),ROW()-1234)),"")</f>
        <v>https://www.comunidad.madrid/tacp/memorias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Buscador de resoluciones</v>
      </c>
      <c r="C1238" s="85" t="str" cm="1">
        <f t="array" ref="C1238">IFERROR(INDEX('03.Muestra'!$F$8:$F$42,SMALL(IF("Página Web"='03.Muestra'!$D$8:$D$42,ROW('03.Muestra'!$F$8:$F$42)-MIN(ROW('03.Muestra'!$D$8:$D$42))+1,""),ROW()-1234)),"")</f>
        <v>https://www.comunidad.madrid/tacp/busquedaresoluciones</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Novedades</v>
      </c>
      <c r="C1239" s="85" t="str" cm="1">
        <f t="array" ref="C1239">IFERROR(INDEX('03.Muestra'!$F$8:$F$42,SMALL(IF("Página Web"='03.Muestra'!$D$8:$D$42,ROW('03.Muestra'!$F$8:$F$42)-MIN(ROW('03.Muestra'!$D$8:$D$42))+1,""),ROW()-1234)),"")</f>
        <v>https://www.comunidad.madrid/tacp/novedades/publicacion-recursos-especiales-en-perfil-contratante</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Aviso Legal</v>
      </c>
      <c r="C1240" s="85" t="str" cm="1">
        <f t="array" ref="C1240">IFERROR(INDEX('03.Muestra'!$F$8:$F$42,SMALL(IF("Página Web"='03.Muestra'!$D$8:$D$42,ROW('03.Muestra'!$F$8:$F$42)-MIN(ROW('03.Muestra'!$D$8:$D$42))+1,""),ROW()-1234)),"")</f>
        <v>https://www.comunidad.madrid/tacp/aviso-legal</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Accesibilidad</v>
      </c>
      <c r="C1241" s="85" t="str" cm="1">
        <f t="array" ref="C1241">IFERROR(INDEX('03.Muestra'!$F$8:$F$42,SMALL(IF("Página Web"='03.Muestra'!$D$8:$D$42,ROW('03.Muestra'!$F$8:$F$42)-MIN(ROW('03.Muestra'!$D$8:$D$42))+1,""),ROW()-1234)),"")</f>
        <v>https://www.comunidad.madrid/tacp/accesibilidad</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Mapa Web</v>
      </c>
      <c r="C1242" s="85" t="str" cm="1">
        <f t="array" ref="C1242">IFERROR(INDEX('03.Muestra'!$F$8:$F$42,SMALL(IF("Página Web"='03.Muestra'!$D$8:$D$42,ROW('03.Muestra'!$F$8:$F$42)-MIN(ROW('03.Muestra'!$D$8:$D$42))+1,""),ROW()-1234)),"")</f>
        <v>https://www.comunidad.madrid/tacp/sitemap</v>
      </c>
      <c r="D1242" s="99" t="s">
        <v>104</v>
      </c>
      <c r="E1242" s="79" t="str">
        <f t="shared" si="64"/>
        <v/>
      </c>
      <c r="F1242" s="18"/>
      <c r="G1242" s="18"/>
      <c r="H1242" s="18"/>
      <c r="I1242" s="18"/>
      <c r="J1242" s="18"/>
      <c r="K1242" s="184"/>
      <c r="L1242" s="18"/>
    </row>
    <row r="1243" spans="1:12" ht="12" customHeight="1">
      <c r="A1243" s="39" t="str" cm="1">
        <f t="array" ref="A1243">IFERROR(INDEX('03.Muestra'!$B$8:$B$42,SMALL(IF("Página Web"='03.Muestra'!$D$8:$D$42,ROW('03.Muestra'!$B$8:$B$42)-MIN(ROW('03.Muestra'!$D$8:$D$42))+1,""),ROW()-1234)),"")</f>
        <v/>
      </c>
      <c r="B1243" s="85" t="str" cm="1">
        <f t="array" ref="B1243">IFERROR(INDEX('03.Muestra'!$C$8:$C$42,SMALL(IF("Página Web"='03.Muestra'!$D$8:$D$42,ROW('03.Muestra'!$C$8:$C$42)-MIN(ROW('03.Muestra'!$D$8:$D$42))+1,""),ROW()-1234)),"")</f>
        <v/>
      </c>
      <c r="C1243" s="85" t="str" cm="1">
        <f t="array" ref="C1243">IFERROR(INDEX('03.Muestra'!$F$8:$F$42,SMALL(IF("Página Web"='03.Muestra'!$D$8:$D$42,ROW('03.Muestra'!$F$8:$F$42)-MIN(ROW('03.Muestra'!$D$8:$D$42))+1,""),ROW()-1234)),"")</f>
        <v/>
      </c>
      <c r="D1243" s="99" t="str">
        <f t="shared" ref="D1243:D1269" si="65">IF(AND(B1243&lt;&gt;"",C1243&lt;&gt;""),"N/T","")</f>
        <v/>
      </c>
      <c r="E1243" s="79" t="str">
        <f t="shared" si="64"/>
        <v/>
      </c>
      <c r="F1243" s="18"/>
      <c r="G1243" s="18"/>
      <c r="H1243" s="18"/>
      <c r="I1243" s="18"/>
      <c r="J1243" s="18"/>
      <c r="K1243" s="184"/>
      <c r="L1243" s="18"/>
    </row>
    <row r="1244" spans="1:12" ht="12" customHeight="1">
      <c r="A1244" s="39" t="str" cm="1">
        <f t="array" ref="A1244">IFERROR(INDEX('03.Muestra'!$B$8:$B$42,SMALL(IF("Página Web"='03.Muestra'!$D$8:$D$42,ROW('03.Muestra'!$B$8:$B$42)-MIN(ROW('03.Muestra'!$D$8:$D$42))+1,""),ROW()-1234)),"")</f>
        <v/>
      </c>
      <c r="B1244" s="85" t="str" cm="1">
        <f t="array" ref="B1244">IFERROR(INDEX('03.Muestra'!$C$8:$C$42,SMALL(IF("Página Web"='03.Muestra'!$D$8:$D$42,ROW('03.Muestra'!$C$8:$C$42)-MIN(ROW('03.Muestra'!$D$8:$D$42))+1,""),ROW()-1234)),"")</f>
        <v/>
      </c>
      <c r="C1244" s="85" t="str" cm="1">
        <f t="array" ref="C1244">IFERROR(INDEX('03.Muestra'!$F$8:$F$42,SMALL(IF("Página Web"='03.Muestra'!$D$8:$D$42,ROW('03.Muestra'!$F$8:$F$42)-MIN(ROW('03.Muestra'!$D$8:$D$42))+1,""),ROW()-1234)),"")</f>
        <v/>
      </c>
      <c r="D1244" s="99" t="str">
        <f t="shared" si="65"/>
        <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si="65"/>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https://www.comunidad.madrid/tacp</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Presentación electrónica</v>
      </c>
      <c r="C1274" s="85" t="str" cm="1">
        <f t="array" ref="C1274">IFERROR(INDEX('03.Muestra'!$F$8:$F$42,SMALL(IF("Página Web"='03.Muestra'!$D$8:$D$42,ROW('03.Muestra'!$F$8:$F$42)-MIN(ROW('03.Muestra'!$D$8:$D$42))+1,""),ROW()-1272)),"")</f>
        <v>https://www.comunidad.madrid/tacp/el-tribunal/presentacion-electronica-e-impresos-normalizados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8</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Memorias</v>
      </c>
      <c r="C1275" s="85" t="str" cm="1">
        <f t="array" ref="C1275">IFERROR(INDEX('03.Muestra'!$F$8:$F$42,SMALL(IF("Página Web"='03.Muestra'!$D$8:$D$42,ROW('03.Muestra'!$F$8:$F$42)-MIN(ROW('03.Muestra'!$D$8:$D$42))+1,""),ROW()-1272)),"")</f>
        <v>https://www.comunidad.madrid/tacp/memorias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Buscador de resoluciones</v>
      </c>
      <c r="C1276" s="85" t="str" cm="1">
        <f t="array" ref="C1276">IFERROR(INDEX('03.Muestra'!$F$8:$F$42,SMALL(IF("Página Web"='03.Muestra'!$D$8:$D$42,ROW('03.Muestra'!$F$8:$F$42)-MIN(ROW('03.Muestra'!$D$8:$D$42))+1,""),ROW()-1272)),"")</f>
        <v>https://www.comunidad.madrid/tacp/busquedaresoluciones</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Novedades</v>
      </c>
      <c r="C1277" s="85" t="str" cm="1">
        <f t="array" ref="C1277">IFERROR(INDEX('03.Muestra'!$F$8:$F$42,SMALL(IF("Página Web"='03.Muestra'!$D$8:$D$42,ROW('03.Muestra'!$F$8:$F$42)-MIN(ROW('03.Muestra'!$D$8:$D$42))+1,""),ROW()-1272)),"")</f>
        <v>https://www.comunidad.madrid/tacp/novedades/publicacion-recursos-especiales-en-perfil-contratante</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Aviso Legal</v>
      </c>
      <c r="C1278" s="85" t="str" cm="1">
        <f t="array" ref="C1278">IFERROR(INDEX('03.Muestra'!$F$8:$F$42,SMALL(IF("Página Web"='03.Muestra'!$D$8:$D$42,ROW('03.Muestra'!$F$8:$F$42)-MIN(ROW('03.Muestra'!$D$8:$D$42))+1,""),ROW()-1272)),"")</f>
        <v>https://www.comunidad.madrid/tacp/aviso-legal</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Accesibilidad</v>
      </c>
      <c r="C1279" s="85" t="str" cm="1">
        <f t="array" ref="C1279">IFERROR(INDEX('03.Muestra'!$F$8:$F$42,SMALL(IF("Página Web"='03.Muestra'!$D$8:$D$42,ROW('03.Muestra'!$F$8:$F$42)-MIN(ROW('03.Muestra'!$D$8:$D$42))+1,""),ROW()-1272)),"")</f>
        <v>https://www.comunidad.madrid/tacp/accesibilidad</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Mapa Web</v>
      </c>
      <c r="C1280" s="85" t="str" cm="1">
        <f t="array" ref="C1280">IFERROR(INDEX('03.Muestra'!$F$8:$F$42,SMALL(IF("Página Web"='03.Muestra'!$D$8:$D$42,ROW('03.Muestra'!$F$8:$F$42)-MIN(ROW('03.Muestra'!$D$8:$D$42))+1,""),ROW()-1272)),"")</f>
        <v>https://www.comunidad.madrid/tacp/sitemap</v>
      </c>
      <c r="D1280" s="99" t="s">
        <v>92</v>
      </c>
      <c r="E1280" s="79" t="str">
        <f t="shared" si="66"/>
        <v/>
      </c>
      <c r="F1280" s="18"/>
      <c r="G1280" s="18"/>
      <c r="H1280" s="18"/>
      <c r="I1280" s="18"/>
      <c r="J1280" s="18"/>
      <c r="K1280" s="184"/>
    </row>
    <row r="1281" spans="1:12" ht="12" customHeight="1">
      <c r="A1281" s="39" t="str" cm="1">
        <f t="array" ref="A1281">IFERROR(INDEX('03.Muestra'!$B$8:$B$42,SMALL(IF("Página Web"='03.Muestra'!$D$8:$D$42,ROW('03.Muestra'!$B$8:$B$42)-MIN(ROW('03.Muestra'!$D$8:$D$42))+1,""),ROW()-1272)),"")</f>
        <v/>
      </c>
      <c r="B1281" s="85" t="str" cm="1">
        <f t="array" ref="B1281">IFERROR(INDEX('03.Muestra'!$C$8:$C$42,SMALL(IF("Página Web"='03.Muestra'!$D$8:$D$42,ROW('03.Muestra'!$C$8:$C$42)-MIN(ROW('03.Muestra'!$D$8:$D$42))+1,""),ROW()-1272)),"")</f>
        <v/>
      </c>
      <c r="C1281" s="85" t="str" cm="1">
        <f t="array" ref="C1281">IFERROR(INDEX('03.Muestra'!$F$8:$F$42,SMALL(IF("Página Web"='03.Muestra'!$D$8:$D$42,ROW('03.Muestra'!$F$8:$F$42)-MIN(ROW('03.Muestra'!$D$8:$D$42))+1,""),ROW()-1272)),"")</f>
        <v/>
      </c>
      <c r="D1281" s="99" t="str">
        <f t="shared" ref="D1281:D1307" si="67">IF(AND(B1281&lt;&gt;"",C1281&lt;&gt;""),"N/T","")</f>
        <v/>
      </c>
      <c r="E1281" s="79" t="str">
        <f t="shared" si="66"/>
        <v/>
      </c>
      <c r="F1281" s="18"/>
      <c r="G1281" s="18"/>
      <c r="H1281" s="18"/>
      <c r="I1281" s="18"/>
      <c r="J1281" s="18"/>
      <c r="K1281" s="184"/>
      <c r="L1281" s="18"/>
    </row>
    <row r="1282" spans="1:12" ht="12" customHeight="1">
      <c r="A1282" s="39" t="str" cm="1">
        <f t="array" ref="A1282">IFERROR(INDEX('03.Muestra'!$B$8:$B$42,SMALL(IF("Página Web"='03.Muestra'!$D$8:$D$42,ROW('03.Muestra'!$B$8:$B$42)-MIN(ROW('03.Muestra'!$D$8:$D$42))+1,""),ROW()-1272)),"")</f>
        <v/>
      </c>
      <c r="B1282" s="85" t="str" cm="1">
        <f t="array" ref="B1282">IFERROR(INDEX('03.Muestra'!$C$8:$C$42,SMALL(IF("Página Web"='03.Muestra'!$D$8:$D$42,ROW('03.Muestra'!$C$8:$C$42)-MIN(ROW('03.Muestra'!$D$8:$D$42))+1,""),ROW()-1272)),"")</f>
        <v/>
      </c>
      <c r="C1282" s="85" t="str" cm="1">
        <f t="array" ref="C1282">IFERROR(INDEX('03.Muestra'!$F$8:$F$42,SMALL(IF("Página Web"='03.Muestra'!$D$8:$D$42,ROW('03.Muestra'!$F$8:$F$42)-MIN(ROW('03.Muestra'!$D$8:$D$42))+1,""),ROW()-1272)),"")</f>
        <v/>
      </c>
      <c r="D1282" s="99" t="str">
        <f t="shared" si="67"/>
        <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si="67"/>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https://www.comunidad.madrid/tacp</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Presentación electrónica</v>
      </c>
      <c r="C1312" s="85" t="str" cm="1">
        <f t="array" ref="C1312">IFERROR(INDEX('03.Muestra'!$F$8:$F$42,SMALL(IF("Página Web"='03.Muestra'!$D$8:$D$42,ROW('03.Muestra'!$F$8:$F$42)-MIN(ROW('03.Muestra'!$D$8:$D$42))+1,""),ROW()-1310)),"")</f>
        <v>https://www.comunidad.madrid/tacp/el-tribunal/presentacion-electronica-e-impresos-normalizados</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8</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Memorias</v>
      </c>
      <c r="C1313" s="85" t="str" cm="1">
        <f t="array" ref="C1313">IFERROR(INDEX('03.Muestra'!$F$8:$F$42,SMALL(IF("Página Web"='03.Muestra'!$D$8:$D$42,ROW('03.Muestra'!$F$8:$F$42)-MIN(ROW('03.Muestra'!$D$8:$D$42))+1,""),ROW()-1310)),"")</f>
        <v>https://www.comunidad.madrid/tacp/memorias</v>
      </c>
      <c r="D1313" s="99" t="s">
        <v>92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Buscador de resoluciones</v>
      </c>
      <c r="C1314" s="85" t="str" cm="1">
        <f t="array" ref="C1314">IFERROR(INDEX('03.Muestra'!$F$8:$F$42,SMALL(IF("Página Web"='03.Muestra'!$D$8:$D$42,ROW('03.Muestra'!$F$8:$F$42)-MIN(ROW('03.Muestra'!$D$8:$D$42))+1,""),ROW()-1310)),"")</f>
        <v>https://www.comunidad.madrid/tacp/busquedaresoluciones</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Novedades</v>
      </c>
      <c r="C1315" s="85" t="str" cm="1">
        <f t="array" ref="C1315">IFERROR(INDEX('03.Muestra'!$F$8:$F$42,SMALL(IF("Página Web"='03.Muestra'!$D$8:$D$42,ROW('03.Muestra'!$F$8:$F$42)-MIN(ROW('03.Muestra'!$D$8:$D$42))+1,""),ROW()-1310)),"")</f>
        <v>https://www.comunidad.madrid/tacp/novedades/publicacion-recursos-especiales-en-perfil-contratante</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Aviso Legal</v>
      </c>
      <c r="C1316" s="85" t="str" cm="1">
        <f t="array" ref="C1316">IFERROR(INDEX('03.Muestra'!$F$8:$F$42,SMALL(IF("Página Web"='03.Muestra'!$D$8:$D$42,ROW('03.Muestra'!$F$8:$F$42)-MIN(ROW('03.Muestra'!$D$8:$D$42))+1,""),ROW()-1310)),"")</f>
        <v>https://www.comunidad.madrid/tacp/aviso-legal</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Accesibilidad</v>
      </c>
      <c r="C1317" s="85" t="str" cm="1">
        <f t="array" ref="C1317">IFERROR(INDEX('03.Muestra'!$F$8:$F$42,SMALL(IF("Página Web"='03.Muestra'!$D$8:$D$42,ROW('03.Muestra'!$F$8:$F$42)-MIN(ROW('03.Muestra'!$D$8:$D$42))+1,""),ROW()-1310)),"")</f>
        <v>https://www.comunidad.madrid/tacp/accesibilidad</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Mapa Web</v>
      </c>
      <c r="C1318" s="85" t="str" cm="1">
        <f t="array" ref="C1318">IFERROR(INDEX('03.Muestra'!$F$8:$F$42,SMALL(IF("Página Web"='03.Muestra'!$D$8:$D$42,ROW('03.Muestra'!$F$8:$F$42)-MIN(ROW('03.Muestra'!$D$8:$D$42))+1,""),ROW()-1310)),"")</f>
        <v>https://www.comunidad.madrid/tacp/sitemap</v>
      </c>
      <c r="D1318" s="99" t="s">
        <v>92</v>
      </c>
      <c r="E1318" s="79" t="str">
        <f t="shared" si="68"/>
        <v/>
      </c>
      <c r="F1318" s="18"/>
      <c r="G1318" s="18"/>
      <c r="H1318" s="18"/>
      <c r="I1318" s="18"/>
      <c r="J1318" s="18"/>
      <c r="K1318" s="184"/>
      <c r="L1318" s="18"/>
    </row>
    <row r="1319" spans="1:12" ht="12" customHeight="1">
      <c r="A1319" s="39" t="str" cm="1">
        <f t="array" ref="A1319">IFERROR(INDEX('03.Muestra'!$B$8:$B$42,SMALL(IF("Página Web"='03.Muestra'!$D$8:$D$42,ROW('03.Muestra'!$B$8:$B$42)-MIN(ROW('03.Muestra'!$D$8:$D$42))+1,""),ROW()-1310)),"")</f>
        <v/>
      </c>
      <c r="B1319" s="85" t="str" cm="1">
        <f t="array" ref="B1319">IFERROR(INDEX('03.Muestra'!$C$8:$C$42,SMALL(IF("Página Web"='03.Muestra'!$D$8:$D$42,ROW('03.Muestra'!$C$8:$C$42)-MIN(ROW('03.Muestra'!$D$8:$D$42))+1,""),ROW()-1310)),"")</f>
        <v/>
      </c>
      <c r="C1319" s="85" t="str" cm="1">
        <f t="array" ref="C1319">IFERROR(INDEX('03.Muestra'!$F$8:$F$42,SMALL(IF("Página Web"='03.Muestra'!$D$8:$D$42,ROW('03.Muestra'!$F$8:$F$42)-MIN(ROW('03.Muestra'!$D$8:$D$42))+1,""),ROW()-1310)),"")</f>
        <v/>
      </c>
      <c r="D1319" s="99" t="str">
        <f t="shared" ref="D1319:D1345" si="69">IF(AND(B1319&lt;&gt;"",C1319&lt;&gt;""),"N/T","")</f>
        <v/>
      </c>
      <c r="E1319" s="79" t="str">
        <f t="shared" si="68"/>
        <v/>
      </c>
      <c r="F1319" s="18"/>
      <c r="G1319" s="18"/>
      <c r="H1319" s="18"/>
      <c r="I1319" s="18"/>
      <c r="J1319" s="18"/>
      <c r="K1319" s="184"/>
      <c r="L1319" s="18"/>
    </row>
    <row r="1320" spans="1:12" ht="12" customHeight="1">
      <c r="A1320" s="39" t="str" cm="1">
        <f t="array" ref="A1320">IFERROR(INDEX('03.Muestra'!$B$8:$B$42,SMALL(IF("Página Web"='03.Muestra'!$D$8:$D$42,ROW('03.Muestra'!$B$8:$B$42)-MIN(ROW('03.Muestra'!$D$8:$D$42))+1,""),ROW()-1310)),"")</f>
        <v/>
      </c>
      <c r="B1320" s="85" t="str" cm="1">
        <f t="array" ref="B1320">IFERROR(INDEX('03.Muestra'!$C$8:$C$42,SMALL(IF("Página Web"='03.Muestra'!$D$8:$D$42,ROW('03.Muestra'!$C$8:$C$42)-MIN(ROW('03.Muestra'!$D$8:$D$42))+1,""),ROW()-1310)),"")</f>
        <v/>
      </c>
      <c r="C1320" s="85" t="str" cm="1">
        <f t="array" ref="C1320">IFERROR(INDEX('03.Muestra'!$F$8:$F$42,SMALL(IF("Página Web"='03.Muestra'!$D$8:$D$42,ROW('03.Muestra'!$F$8:$F$42)-MIN(ROW('03.Muestra'!$D$8:$D$42))+1,""),ROW()-1310)),"")</f>
        <v/>
      </c>
      <c r="D1320" s="99" t="str">
        <f t="shared" si="69"/>
        <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si="69"/>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https://www.comunidad.madrid/tacp</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Presentación electrónica</v>
      </c>
      <c r="C1350" s="85" t="str" cm="1">
        <f t="array" ref="C1350">IFERROR(INDEX('03.Muestra'!$F$8:$F$42,SMALL(IF("Página Web"='03.Muestra'!$D$8:$D$42,ROW('03.Muestra'!$F$8:$F$42)-MIN(ROW('03.Muestra'!$D$8:$D$42))+1,""),ROW()-1348)),"")</f>
        <v>https://www.comunidad.madrid/tacp/el-tribunal/presentacion-electronica-e-impresos-normalizados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8</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Memorias</v>
      </c>
      <c r="C1351" s="85" t="str" cm="1">
        <f t="array" ref="C1351">IFERROR(INDEX('03.Muestra'!$F$8:$F$42,SMALL(IF("Página Web"='03.Muestra'!$D$8:$D$42,ROW('03.Muestra'!$F$8:$F$42)-MIN(ROW('03.Muestra'!$D$8:$D$42))+1,""),ROW()-1348)),"")</f>
        <v>https://www.comunidad.madrid/tacp/memorias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Buscador de resoluciones</v>
      </c>
      <c r="C1352" s="85" t="str" cm="1">
        <f t="array" ref="C1352">IFERROR(INDEX('03.Muestra'!$F$8:$F$42,SMALL(IF("Página Web"='03.Muestra'!$D$8:$D$42,ROW('03.Muestra'!$F$8:$F$42)-MIN(ROW('03.Muestra'!$D$8:$D$42))+1,""),ROW()-1348)),"")</f>
        <v>https://www.comunidad.madrid/tacp/busquedaresoluciones</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Novedades</v>
      </c>
      <c r="C1353" s="85" t="str" cm="1">
        <f t="array" ref="C1353">IFERROR(INDEX('03.Muestra'!$F$8:$F$42,SMALL(IF("Página Web"='03.Muestra'!$D$8:$D$42,ROW('03.Muestra'!$F$8:$F$42)-MIN(ROW('03.Muestra'!$D$8:$D$42))+1,""),ROW()-1348)),"")</f>
        <v>https://www.comunidad.madrid/tacp/novedades/publicacion-recursos-especiales-en-perfil-contratante</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Aviso Legal</v>
      </c>
      <c r="C1354" s="85" t="str" cm="1">
        <f t="array" ref="C1354">IFERROR(INDEX('03.Muestra'!$F$8:$F$42,SMALL(IF("Página Web"='03.Muestra'!$D$8:$D$42,ROW('03.Muestra'!$F$8:$F$42)-MIN(ROW('03.Muestra'!$D$8:$D$42))+1,""),ROW()-1348)),"")</f>
        <v>https://www.comunidad.madrid/tacp/aviso-legal</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Accesibilidad</v>
      </c>
      <c r="C1355" s="85" t="str" cm="1">
        <f t="array" ref="C1355">IFERROR(INDEX('03.Muestra'!$F$8:$F$42,SMALL(IF("Página Web"='03.Muestra'!$D$8:$D$42,ROW('03.Muestra'!$F$8:$F$42)-MIN(ROW('03.Muestra'!$D$8:$D$42))+1,""),ROW()-1348)),"")</f>
        <v>https://www.comunidad.madrid/tacp/accesibilidad</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Mapa Web</v>
      </c>
      <c r="C1356" s="85" t="str" cm="1">
        <f t="array" ref="C1356">IFERROR(INDEX('03.Muestra'!$F$8:$F$42,SMALL(IF("Página Web"='03.Muestra'!$D$8:$D$42,ROW('03.Muestra'!$F$8:$F$42)-MIN(ROW('03.Muestra'!$D$8:$D$42))+1,""),ROW()-1348)),"")</f>
        <v>https://www.comunidad.madrid/tacp/sitemap</v>
      </c>
      <c r="D1356" s="99" t="s">
        <v>104</v>
      </c>
      <c r="E1356" s="79" t="str">
        <f t="shared" si="70"/>
        <v/>
      </c>
      <c r="F1356" s="18"/>
      <c r="G1356" s="18"/>
      <c r="H1356" s="18"/>
      <c r="I1356" s="18"/>
      <c r="J1356" s="18"/>
      <c r="K1356" s="184"/>
      <c r="L1356" s="18"/>
    </row>
    <row r="1357" spans="1:12" ht="12" customHeight="1">
      <c r="A1357" s="39" t="str" cm="1">
        <f t="array" ref="A1357">IFERROR(INDEX('03.Muestra'!$B$8:$B$42,SMALL(IF("Página Web"='03.Muestra'!$D$8:$D$42,ROW('03.Muestra'!$B$8:$B$42)-MIN(ROW('03.Muestra'!$D$8:$D$42))+1,""),ROW()-1348)),"")</f>
        <v/>
      </c>
      <c r="B1357" s="85" t="str" cm="1">
        <f t="array" ref="B1357">IFERROR(INDEX('03.Muestra'!$C$8:$C$42,SMALL(IF("Página Web"='03.Muestra'!$D$8:$D$42,ROW('03.Muestra'!$C$8:$C$42)-MIN(ROW('03.Muestra'!$D$8:$D$42))+1,""),ROW()-1348)),"")</f>
        <v/>
      </c>
      <c r="C1357" s="85" t="str" cm="1">
        <f t="array" ref="C1357">IFERROR(INDEX('03.Muestra'!$F$8:$F$42,SMALL(IF("Página Web"='03.Muestra'!$D$8:$D$42,ROW('03.Muestra'!$F$8:$F$42)-MIN(ROW('03.Muestra'!$D$8:$D$42))+1,""),ROW()-1348)),"")</f>
        <v/>
      </c>
      <c r="D1357" s="99" t="str">
        <f t="shared" ref="D1357:D1383" si="71">IF(AND(B1357&lt;&gt;"",C1357&lt;&gt;""),"N/T","")</f>
        <v/>
      </c>
      <c r="E1357" s="79" t="str">
        <f t="shared" si="70"/>
        <v/>
      </c>
      <c r="F1357" s="18"/>
      <c r="G1357" s="18"/>
      <c r="H1357" s="18"/>
      <c r="I1357" s="18"/>
      <c r="J1357" s="18"/>
      <c r="K1357" s="184"/>
      <c r="L1357" s="18"/>
    </row>
    <row r="1358" spans="1:12" ht="12" customHeight="1">
      <c r="A1358" s="39" t="str" cm="1">
        <f t="array" ref="A1358">IFERROR(INDEX('03.Muestra'!$B$8:$B$42,SMALL(IF("Página Web"='03.Muestra'!$D$8:$D$42,ROW('03.Muestra'!$B$8:$B$42)-MIN(ROW('03.Muestra'!$D$8:$D$42))+1,""),ROW()-1348)),"")</f>
        <v/>
      </c>
      <c r="B1358" s="85" t="str" cm="1">
        <f t="array" ref="B1358">IFERROR(INDEX('03.Muestra'!$C$8:$C$42,SMALL(IF("Página Web"='03.Muestra'!$D$8:$D$42,ROW('03.Muestra'!$C$8:$C$42)-MIN(ROW('03.Muestra'!$D$8:$D$42))+1,""),ROW()-1348)),"")</f>
        <v/>
      </c>
      <c r="C1358" s="85" t="str" cm="1">
        <f t="array" ref="C1358">IFERROR(INDEX('03.Muestra'!$F$8:$F$42,SMALL(IF("Página Web"='03.Muestra'!$D$8:$D$42,ROW('03.Muestra'!$F$8:$F$42)-MIN(ROW('03.Muestra'!$D$8:$D$42))+1,""),ROW()-1348)),"")</f>
        <v/>
      </c>
      <c r="D1358" s="99" t="str">
        <f t="shared" si="71"/>
        <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si="71"/>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https://www.comunidad.madrid/tacp</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Presentación electrónica</v>
      </c>
      <c r="C1388" s="85" t="str" cm="1">
        <f t="array" ref="C1388">IFERROR(INDEX('03.Muestra'!$F$8:$F$42,SMALL(IF("Página Web"='03.Muestra'!$D$8:$D$42,ROW('03.Muestra'!$F$8:$F$42)-MIN(ROW('03.Muestra'!$D$8:$D$42))+1,""),ROW()-1386)),"")</f>
        <v>https://www.comunidad.madrid/tacp/el-tribunal/presentacion-electronica-e-impresos-normalizados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8</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Memorias</v>
      </c>
      <c r="C1389" s="85" t="str" cm="1">
        <f t="array" ref="C1389">IFERROR(INDEX('03.Muestra'!$F$8:$F$42,SMALL(IF("Página Web"='03.Muestra'!$D$8:$D$42,ROW('03.Muestra'!$F$8:$F$42)-MIN(ROW('03.Muestra'!$D$8:$D$42))+1,""),ROW()-1386)),"")</f>
        <v>https://www.comunidad.madrid/tacp/memorias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Buscador de resoluciones</v>
      </c>
      <c r="C1390" s="85" t="str" cm="1">
        <f t="array" ref="C1390">IFERROR(INDEX('03.Muestra'!$F$8:$F$42,SMALL(IF("Página Web"='03.Muestra'!$D$8:$D$42,ROW('03.Muestra'!$F$8:$F$42)-MIN(ROW('03.Muestra'!$D$8:$D$42))+1,""),ROW()-1386)),"")</f>
        <v>https://www.comunidad.madrid/tacp/busquedaresoluciones</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Novedades</v>
      </c>
      <c r="C1391" s="85" t="str" cm="1">
        <f t="array" ref="C1391">IFERROR(INDEX('03.Muestra'!$F$8:$F$42,SMALL(IF("Página Web"='03.Muestra'!$D$8:$D$42,ROW('03.Muestra'!$F$8:$F$42)-MIN(ROW('03.Muestra'!$D$8:$D$42))+1,""),ROW()-1386)),"")</f>
        <v>https://www.comunidad.madrid/tacp/novedades/publicacion-recursos-especiales-en-perfil-contratante</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Aviso Legal</v>
      </c>
      <c r="C1392" s="85" t="str" cm="1">
        <f t="array" ref="C1392">IFERROR(INDEX('03.Muestra'!$F$8:$F$42,SMALL(IF("Página Web"='03.Muestra'!$D$8:$D$42,ROW('03.Muestra'!$F$8:$F$42)-MIN(ROW('03.Muestra'!$D$8:$D$42))+1,""),ROW()-1386)),"")</f>
        <v>https://www.comunidad.madrid/tacp/aviso-legal</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Accesibilidad</v>
      </c>
      <c r="C1393" s="85" t="str" cm="1">
        <f t="array" ref="C1393">IFERROR(INDEX('03.Muestra'!$F$8:$F$42,SMALL(IF("Página Web"='03.Muestra'!$D$8:$D$42,ROW('03.Muestra'!$F$8:$F$42)-MIN(ROW('03.Muestra'!$D$8:$D$42))+1,""),ROW()-1386)),"")</f>
        <v>https://www.comunidad.madrid/tacp/accesibilidad</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Mapa Web</v>
      </c>
      <c r="C1394" s="85" t="str" cm="1">
        <f t="array" ref="C1394">IFERROR(INDEX('03.Muestra'!$F$8:$F$42,SMALL(IF("Página Web"='03.Muestra'!$D$8:$D$42,ROW('03.Muestra'!$F$8:$F$42)-MIN(ROW('03.Muestra'!$D$8:$D$42))+1,""),ROW()-1386)),"")</f>
        <v>https://www.comunidad.madrid/tacp/sitemap</v>
      </c>
      <c r="D1394" s="99" t="s">
        <v>92</v>
      </c>
      <c r="E1394" s="79" t="str">
        <f t="shared" si="72"/>
        <v/>
      </c>
      <c r="F1394" s="18"/>
      <c r="G1394" s="18"/>
      <c r="H1394" s="18"/>
      <c r="I1394" s="18"/>
      <c r="J1394" s="18"/>
      <c r="K1394" s="184"/>
      <c r="L1394" s="18"/>
    </row>
    <row r="1395" spans="1:12" ht="12" customHeight="1">
      <c r="A1395" s="39" t="str" cm="1">
        <f t="array" ref="A1395">IFERROR(INDEX('03.Muestra'!$B$8:$B$42,SMALL(IF("Página Web"='03.Muestra'!$D$8:$D$42,ROW('03.Muestra'!$B$8:$B$42)-MIN(ROW('03.Muestra'!$D$8:$D$42))+1,""),ROW()-1386)),"")</f>
        <v/>
      </c>
      <c r="B1395" s="85" t="str" cm="1">
        <f t="array" ref="B1395">IFERROR(INDEX('03.Muestra'!$C$8:$C$42,SMALL(IF("Página Web"='03.Muestra'!$D$8:$D$42,ROW('03.Muestra'!$C$8:$C$42)-MIN(ROW('03.Muestra'!$D$8:$D$42))+1,""),ROW()-1386)),"")</f>
        <v/>
      </c>
      <c r="C1395" s="85" t="str" cm="1">
        <f t="array" ref="C1395">IFERROR(INDEX('03.Muestra'!$F$8:$F$42,SMALL(IF("Página Web"='03.Muestra'!$D$8:$D$42,ROW('03.Muestra'!$F$8:$F$42)-MIN(ROW('03.Muestra'!$D$8:$D$42))+1,""),ROW()-1386)),"")</f>
        <v/>
      </c>
      <c r="D1395" s="99" t="str">
        <f t="shared" ref="D1395:D1421" si="73">IF(AND(B1395&lt;&gt;"",C1395&lt;&gt;""),"N/T","")</f>
        <v/>
      </c>
      <c r="E1395" s="79" t="str">
        <f t="shared" si="72"/>
        <v/>
      </c>
      <c r="F1395" s="18"/>
      <c r="G1395" s="18"/>
      <c r="H1395" s="18"/>
      <c r="I1395" s="18"/>
      <c r="J1395" s="18"/>
      <c r="K1395" s="184"/>
      <c r="L1395" s="18"/>
    </row>
    <row r="1396" spans="1:12" ht="12" customHeight="1">
      <c r="A1396" s="39" t="str" cm="1">
        <f t="array" ref="A1396">IFERROR(INDEX('03.Muestra'!$B$8:$B$42,SMALL(IF("Página Web"='03.Muestra'!$D$8:$D$42,ROW('03.Muestra'!$B$8:$B$42)-MIN(ROW('03.Muestra'!$D$8:$D$42))+1,""),ROW()-1386)),"")</f>
        <v/>
      </c>
      <c r="B1396" s="85" t="str" cm="1">
        <f t="array" ref="B1396">IFERROR(INDEX('03.Muestra'!$C$8:$C$42,SMALL(IF("Página Web"='03.Muestra'!$D$8:$D$42,ROW('03.Muestra'!$C$8:$C$42)-MIN(ROW('03.Muestra'!$D$8:$D$42))+1,""),ROW()-1386)),"")</f>
        <v/>
      </c>
      <c r="C1396" s="85" t="str" cm="1">
        <f t="array" ref="C1396">IFERROR(INDEX('03.Muestra'!$F$8:$F$42,SMALL(IF("Página Web"='03.Muestra'!$D$8:$D$42,ROW('03.Muestra'!$F$8:$F$42)-MIN(ROW('03.Muestra'!$D$8:$D$42))+1,""),ROW()-1386)),"")</f>
        <v/>
      </c>
      <c r="D1396" s="99" t="str">
        <f t="shared" si="73"/>
        <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si="73"/>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https://www.comunidad.madrid/tacp</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Presentación electrónica</v>
      </c>
      <c r="C1426" s="85" t="str" cm="1">
        <f t="array" ref="C1426">IFERROR(INDEX('03.Muestra'!$F$8:$F$42,SMALL(IF("Página Web"='03.Muestra'!$D$8:$D$42,ROW('03.Muestra'!$F$8:$F$42)-MIN(ROW('03.Muestra'!$D$8:$D$42))+1,""),ROW()-1424)),"")</f>
        <v>https://www.comunidad.madrid/tacp/el-tribunal/presentacion-electronica-e-impresos-normalizados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8</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Memorias</v>
      </c>
      <c r="C1427" s="85" t="str" cm="1">
        <f t="array" ref="C1427">IFERROR(INDEX('03.Muestra'!$F$8:$F$42,SMALL(IF("Página Web"='03.Muestra'!$D$8:$D$42,ROW('03.Muestra'!$F$8:$F$42)-MIN(ROW('03.Muestra'!$D$8:$D$42))+1,""),ROW()-1424)),"")</f>
        <v>https://www.comunidad.madrid/tacp/memorias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Buscador de resoluciones</v>
      </c>
      <c r="C1428" s="85" t="str" cm="1">
        <f t="array" ref="C1428">IFERROR(INDEX('03.Muestra'!$F$8:$F$42,SMALL(IF("Página Web"='03.Muestra'!$D$8:$D$42,ROW('03.Muestra'!$F$8:$F$42)-MIN(ROW('03.Muestra'!$D$8:$D$42))+1,""),ROW()-1424)),"")</f>
        <v>https://www.comunidad.madrid/tacp/busquedaresoluciones</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Novedades</v>
      </c>
      <c r="C1429" s="85" t="str" cm="1">
        <f t="array" ref="C1429">IFERROR(INDEX('03.Muestra'!$F$8:$F$42,SMALL(IF("Página Web"='03.Muestra'!$D$8:$D$42,ROW('03.Muestra'!$F$8:$F$42)-MIN(ROW('03.Muestra'!$D$8:$D$42))+1,""),ROW()-1424)),"")</f>
        <v>https://www.comunidad.madrid/tacp/novedades/publicacion-recursos-especiales-en-perfil-contratante</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Aviso Legal</v>
      </c>
      <c r="C1430" s="85" t="str" cm="1">
        <f t="array" ref="C1430">IFERROR(INDEX('03.Muestra'!$F$8:$F$42,SMALL(IF("Página Web"='03.Muestra'!$D$8:$D$42,ROW('03.Muestra'!$F$8:$F$42)-MIN(ROW('03.Muestra'!$D$8:$D$42))+1,""),ROW()-1424)),"")</f>
        <v>https://www.comunidad.madrid/tacp/aviso-legal</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Accesibilidad</v>
      </c>
      <c r="C1431" s="85" t="str" cm="1">
        <f t="array" ref="C1431">IFERROR(INDEX('03.Muestra'!$F$8:$F$42,SMALL(IF("Página Web"='03.Muestra'!$D$8:$D$42,ROW('03.Muestra'!$F$8:$F$42)-MIN(ROW('03.Muestra'!$D$8:$D$42))+1,""),ROW()-1424)),"")</f>
        <v>https://www.comunidad.madrid/tacp/accesibilidad</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Mapa Web</v>
      </c>
      <c r="C1432" s="85" t="str" cm="1">
        <f t="array" ref="C1432">IFERROR(INDEX('03.Muestra'!$F$8:$F$42,SMALL(IF("Página Web"='03.Muestra'!$D$8:$D$42,ROW('03.Muestra'!$F$8:$F$42)-MIN(ROW('03.Muestra'!$D$8:$D$42))+1,""),ROW()-1424)),"")</f>
        <v>https://www.comunidad.madrid/tacp/sitemap</v>
      </c>
      <c r="D1432" s="99" t="s">
        <v>104</v>
      </c>
      <c r="E1432" s="79" t="str">
        <f t="shared" si="74"/>
        <v/>
      </c>
      <c r="F1432" s="18"/>
      <c r="G1432" s="18"/>
      <c r="H1432" s="18"/>
      <c r="I1432" s="18"/>
      <c r="J1432" s="18"/>
      <c r="K1432" s="184"/>
      <c r="L1432" s="18"/>
    </row>
    <row r="1433" spans="1:12" ht="12" customHeight="1">
      <c r="A1433" s="39" t="str" cm="1">
        <f t="array" ref="A1433">IFERROR(INDEX('03.Muestra'!$B$8:$B$42,SMALL(IF("Página Web"='03.Muestra'!$D$8:$D$42,ROW('03.Muestra'!$B$8:$B$42)-MIN(ROW('03.Muestra'!$D$8:$D$42))+1,""),ROW()-1424)),"")</f>
        <v/>
      </c>
      <c r="B1433" s="85" t="str" cm="1">
        <f t="array" ref="B1433">IFERROR(INDEX('03.Muestra'!$C$8:$C$42,SMALL(IF("Página Web"='03.Muestra'!$D$8:$D$42,ROW('03.Muestra'!$C$8:$C$42)-MIN(ROW('03.Muestra'!$D$8:$D$42))+1,""),ROW()-1424)),"")</f>
        <v/>
      </c>
      <c r="C1433" s="85" t="str" cm="1">
        <f t="array" ref="C1433">IFERROR(INDEX('03.Muestra'!$F$8:$F$42,SMALL(IF("Página Web"='03.Muestra'!$D$8:$D$42,ROW('03.Muestra'!$F$8:$F$42)-MIN(ROW('03.Muestra'!$D$8:$D$42))+1,""),ROW()-1424)),"")</f>
        <v/>
      </c>
      <c r="D1433" s="99" t="str">
        <f t="shared" ref="D1433:D1459" si="75">IF(AND(B1433&lt;&gt;"",C1433&lt;&gt;""),"N/T","")</f>
        <v/>
      </c>
      <c r="E1433" s="79" t="str">
        <f t="shared" si="74"/>
        <v/>
      </c>
      <c r="F1433" s="18"/>
      <c r="G1433" s="18"/>
      <c r="H1433" s="18"/>
      <c r="I1433" s="18"/>
      <c r="J1433" s="18"/>
      <c r="K1433" s="184"/>
      <c r="L1433" s="18"/>
    </row>
    <row r="1434" spans="1:12" ht="12" customHeight="1">
      <c r="A1434" s="39" t="str" cm="1">
        <f t="array" ref="A1434">IFERROR(INDEX('03.Muestra'!$B$8:$B$42,SMALL(IF("Página Web"='03.Muestra'!$D$8:$D$42,ROW('03.Muestra'!$B$8:$B$42)-MIN(ROW('03.Muestra'!$D$8:$D$42))+1,""),ROW()-1424)),"")</f>
        <v/>
      </c>
      <c r="B1434" s="85" t="str" cm="1">
        <f t="array" ref="B1434">IFERROR(INDEX('03.Muestra'!$C$8:$C$42,SMALL(IF("Página Web"='03.Muestra'!$D$8:$D$42,ROW('03.Muestra'!$C$8:$C$42)-MIN(ROW('03.Muestra'!$D$8:$D$42))+1,""),ROW()-1424)),"")</f>
        <v/>
      </c>
      <c r="C1434" s="85" t="str" cm="1">
        <f t="array" ref="C1434">IFERROR(INDEX('03.Muestra'!$F$8:$F$42,SMALL(IF("Página Web"='03.Muestra'!$D$8:$D$42,ROW('03.Muestra'!$F$8:$F$42)-MIN(ROW('03.Muestra'!$D$8:$D$42))+1,""),ROW()-1424)),"")</f>
        <v/>
      </c>
      <c r="D1434" s="99" t="str">
        <f t="shared" si="75"/>
        <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si="75"/>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https://www.comunidad.madrid/tacp</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Presentación electrónica</v>
      </c>
      <c r="C1464" s="85" t="str" cm="1">
        <f t="array" ref="C1464">IFERROR(INDEX('03.Muestra'!$F$8:$F$42,SMALL(IF("Página Web"='03.Muestra'!$D$8:$D$42,ROW('03.Muestra'!$F$8:$F$42)-MIN(ROW('03.Muestra'!$D$8:$D$42))+1,""),ROW()-1462)),"")</f>
        <v>https://www.comunidad.madrid/tacp/el-tribunal/presentacion-electronica-e-impresos-normalizados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8</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Memorias</v>
      </c>
      <c r="C1465" s="85" t="str" cm="1">
        <f t="array" ref="C1465">IFERROR(INDEX('03.Muestra'!$F$8:$F$42,SMALL(IF("Página Web"='03.Muestra'!$D$8:$D$42,ROW('03.Muestra'!$F$8:$F$42)-MIN(ROW('03.Muestra'!$D$8:$D$42))+1,""),ROW()-1462)),"")</f>
        <v>https://www.comunidad.madrid/tacp/memorias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Buscador de resoluciones</v>
      </c>
      <c r="C1466" s="85" t="str" cm="1">
        <f t="array" ref="C1466">IFERROR(INDEX('03.Muestra'!$F$8:$F$42,SMALL(IF("Página Web"='03.Muestra'!$D$8:$D$42,ROW('03.Muestra'!$F$8:$F$42)-MIN(ROW('03.Muestra'!$D$8:$D$42))+1,""),ROW()-1462)),"")</f>
        <v>https://www.comunidad.madrid/tacp/busquedaresoluciones</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Novedades</v>
      </c>
      <c r="C1467" s="85" t="str" cm="1">
        <f t="array" ref="C1467">IFERROR(INDEX('03.Muestra'!$F$8:$F$42,SMALL(IF("Página Web"='03.Muestra'!$D$8:$D$42,ROW('03.Muestra'!$F$8:$F$42)-MIN(ROW('03.Muestra'!$D$8:$D$42))+1,""),ROW()-1462)),"")</f>
        <v>https://www.comunidad.madrid/tacp/novedades/publicacion-recursos-especiales-en-perfil-contratante</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Aviso Legal</v>
      </c>
      <c r="C1468" s="85" t="str" cm="1">
        <f t="array" ref="C1468">IFERROR(INDEX('03.Muestra'!$F$8:$F$42,SMALL(IF("Página Web"='03.Muestra'!$D$8:$D$42,ROW('03.Muestra'!$F$8:$F$42)-MIN(ROW('03.Muestra'!$D$8:$D$42))+1,""),ROW()-1462)),"")</f>
        <v>https://www.comunidad.madrid/tacp/aviso-legal</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Accesibilidad</v>
      </c>
      <c r="C1469" s="85" t="str" cm="1">
        <f t="array" ref="C1469">IFERROR(INDEX('03.Muestra'!$F$8:$F$42,SMALL(IF("Página Web"='03.Muestra'!$D$8:$D$42,ROW('03.Muestra'!$F$8:$F$42)-MIN(ROW('03.Muestra'!$D$8:$D$42))+1,""),ROW()-1462)),"")</f>
        <v>https://www.comunidad.madrid/tacp/accesibilidad</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Mapa Web</v>
      </c>
      <c r="C1470" s="85" t="str" cm="1">
        <f t="array" ref="C1470">IFERROR(INDEX('03.Muestra'!$F$8:$F$42,SMALL(IF("Página Web"='03.Muestra'!$D$8:$D$42,ROW('03.Muestra'!$F$8:$F$42)-MIN(ROW('03.Muestra'!$D$8:$D$42))+1,""),ROW()-1462)),"")</f>
        <v>https://www.comunidad.madrid/tacp/sitemap</v>
      </c>
      <c r="D1470" s="99" t="s">
        <v>92</v>
      </c>
      <c r="E1470" s="79" t="str">
        <f t="shared" si="76"/>
        <v/>
      </c>
      <c r="F1470" s="18"/>
      <c r="G1470" s="18"/>
      <c r="H1470" s="18"/>
      <c r="I1470" s="18"/>
      <c r="J1470" s="18"/>
      <c r="K1470" s="184"/>
      <c r="L1470" s="18"/>
    </row>
    <row r="1471" spans="1:12" ht="12" customHeight="1">
      <c r="A1471" s="39" t="str" cm="1">
        <f t="array" ref="A1471">IFERROR(INDEX('03.Muestra'!$B$8:$B$42,SMALL(IF("Página Web"='03.Muestra'!$D$8:$D$42,ROW('03.Muestra'!$B$8:$B$42)-MIN(ROW('03.Muestra'!$D$8:$D$42))+1,""),ROW()-1462)),"")</f>
        <v/>
      </c>
      <c r="B1471" s="85" t="str" cm="1">
        <f t="array" ref="B1471">IFERROR(INDEX('03.Muestra'!$C$8:$C$42,SMALL(IF("Página Web"='03.Muestra'!$D$8:$D$42,ROW('03.Muestra'!$C$8:$C$42)-MIN(ROW('03.Muestra'!$D$8:$D$42))+1,""),ROW()-1462)),"")</f>
        <v/>
      </c>
      <c r="C1471" s="85" t="str" cm="1">
        <f t="array" ref="C1471">IFERROR(INDEX('03.Muestra'!$F$8:$F$42,SMALL(IF("Página Web"='03.Muestra'!$D$8:$D$42,ROW('03.Muestra'!$F$8:$F$42)-MIN(ROW('03.Muestra'!$D$8:$D$42))+1,""),ROW()-1462)),"")</f>
        <v/>
      </c>
      <c r="D1471" s="99" t="str">
        <f t="shared" ref="D1471:D1497" si="77">IF(AND(B1471&lt;&gt;"",C1471&lt;&gt;""),"N/T","")</f>
        <v/>
      </c>
      <c r="E1471" s="79" t="str">
        <f t="shared" si="76"/>
        <v/>
      </c>
      <c r="F1471" s="18"/>
      <c r="G1471" s="18"/>
      <c r="H1471" s="18"/>
      <c r="I1471" s="18"/>
      <c r="J1471" s="18"/>
      <c r="K1471" s="184"/>
      <c r="L1471" s="18"/>
    </row>
    <row r="1472" spans="1:12" ht="12" customHeight="1">
      <c r="A1472" s="39" t="str" cm="1">
        <f t="array" ref="A1472">IFERROR(INDEX('03.Muestra'!$B$8:$B$42,SMALL(IF("Página Web"='03.Muestra'!$D$8:$D$42,ROW('03.Muestra'!$B$8:$B$42)-MIN(ROW('03.Muestra'!$D$8:$D$42))+1,""),ROW()-1462)),"")</f>
        <v/>
      </c>
      <c r="B1472" s="85" t="str" cm="1">
        <f t="array" ref="B1472">IFERROR(INDEX('03.Muestra'!$C$8:$C$42,SMALL(IF("Página Web"='03.Muestra'!$D$8:$D$42,ROW('03.Muestra'!$C$8:$C$42)-MIN(ROW('03.Muestra'!$D$8:$D$42))+1,""),ROW()-1462)),"")</f>
        <v/>
      </c>
      <c r="C1472" s="85" t="str" cm="1">
        <f t="array" ref="C1472">IFERROR(INDEX('03.Muestra'!$F$8:$F$42,SMALL(IF("Página Web"='03.Muestra'!$D$8:$D$42,ROW('03.Muestra'!$F$8:$F$42)-MIN(ROW('03.Muestra'!$D$8:$D$42))+1,""),ROW()-1462)),"")</f>
        <v/>
      </c>
      <c r="D1472" s="99" t="str">
        <f t="shared" si="77"/>
        <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si="77"/>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https://www.comunidad.madrid/tacp</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Presentación electrónica</v>
      </c>
      <c r="C1502" s="85" t="str" cm="1">
        <f t="array" ref="C1502">IFERROR(INDEX('03.Muestra'!$F$8:$F$42,SMALL(IF("Página Web"='03.Muestra'!$D$8:$D$42,ROW('03.Muestra'!$F$8:$F$42)-MIN(ROW('03.Muestra'!$D$8:$D$42))+1,""),ROW()-1500)),"")</f>
        <v>https://www.comunidad.madrid/tacp/el-tribunal/presentacion-electronica-e-impresos-normalizados</v>
      </c>
      <c r="D1502" s="99" t="s">
        <v>104</v>
      </c>
      <c r="E1502" s="79" t="str">
        <f t="shared" si="78"/>
        <v/>
      </c>
      <c r="F1502" s="91">
        <f ca="1">COUNTIF($D1501:INDIRECT("$D" &amp;  SUM(ROW()-1,'03.Muestra'!$D$45)-1),F1501)</f>
        <v>0</v>
      </c>
      <c r="G1502" s="91">
        <f ca="1">COUNTIF($D1501:INDIRECT("$D" &amp;  SUM(ROW()-1,'03.Muestra'!$D$45)-1),G1501)</f>
        <v>0</v>
      </c>
      <c r="H1502" s="91">
        <f ca="1">COUNTIF($D1501:INDIRECT("$D" &amp;  SUM(ROW()-1,'03.Muestra'!$D$45)-1),H1501)</f>
        <v>6</v>
      </c>
      <c r="I1502" s="91">
        <f ca="1">COUNTIF($D1501:INDIRECT("$D" &amp;  SUM(ROW()-1,'03.Muestra'!$D$45)-1),I1501)</f>
        <v>1</v>
      </c>
      <c r="J1502" s="91">
        <f ca="1">COUNTIF($D1501:INDIRECT("$D" &amp;  SUM(ROW()-1,'03.Muestra'!$D$45)-1),J1501)</f>
        <v>1</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Memorias</v>
      </c>
      <c r="C1503" s="85" t="str" cm="1">
        <f t="array" ref="C1503">IFERROR(INDEX('03.Muestra'!$F$8:$F$42,SMALL(IF("Página Web"='03.Muestra'!$D$8:$D$42,ROW('03.Muestra'!$F$8:$F$42)-MIN(ROW('03.Muestra'!$D$8:$D$42))+1,""),ROW()-1500)),"")</f>
        <v>https://www.comunidad.madrid/tacp/memorias</v>
      </c>
      <c r="D1503" s="99" t="s">
        <v>104</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Buscador de resoluciones</v>
      </c>
      <c r="C1504" s="85" t="str" cm="1">
        <f t="array" ref="C1504">IFERROR(INDEX('03.Muestra'!$F$8:$F$42,SMALL(IF("Página Web"='03.Muestra'!$D$8:$D$42,ROW('03.Muestra'!$F$8:$F$42)-MIN(ROW('03.Muestra'!$D$8:$D$42))+1,""),ROW()-1500)),"")</f>
        <v>https://www.comunidad.madrid/tacp/busquedaresoluciones</v>
      </c>
      <c r="D1504" s="99" t="s">
        <v>94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Novedades</v>
      </c>
      <c r="C1505" s="85" t="str" cm="1">
        <f t="array" ref="C1505">IFERROR(INDEX('03.Muestra'!$F$8:$F$42,SMALL(IF("Página Web"='03.Muestra'!$D$8:$D$42,ROW('03.Muestra'!$F$8:$F$42)-MIN(ROW('03.Muestra'!$D$8:$D$42))+1,""),ROW()-1500)),"")</f>
        <v>https://www.comunidad.madrid/tacp/novedades/publicacion-recursos-especiales-en-perfil-contratante</v>
      </c>
      <c r="D1505" s="99" t="s">
        <v>104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Aviso Legal</v>
      </c>
      <c r="C1506" s="85" t="str" cm="1">
        <f t="array" ref="C1506">IFERROR(INDEX('03.Muestra'!$F$8:$F$42,SMALL(IF("Página Web"='03.Muestra'!$D$8:$D$42,ROW('03.Muestra'!$F$8:$F$42)-MIN(ROW('03.Muestra'!$D$8:$D$42))+1,""),ROW()-1500)),"")</f>
        <v>https://www.comunidad.madrid/tacp/aviso-legal</v>
      </c>
      <c r="D1506" s="99" t="s">
        <v>104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Accesibilidad</v>
      </c>
      <c r="C1507" s="85" t="str" cm="1">
        <f t="array" ref="C1507">IFERROR(INDEX('03.Muestra'!$F$8:$F$42,SMALL(IF("Página Web"='03.Muestra'!$D$8:$D$42,ROW('03.Muestra'!$F$8:$F$42)-MIN(ROW('03.Muestra'!$D$8:$D$42))+1,""),ROW()-1500)),"")</f>
        <v>https://www.comunidad.madrid/tacp/accesibilidad</v>
      </c>
      <c r="D1507" s="99" t="s">
        <v>104</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Mapa Web</v>
      </c>
      <c r="C1508" s="85" t="str" cm="1">
        <f t="array" ref="C1508">IFERROR(INDEX('03.Muestra'!$F$8:$F$42,SMALL(IF("Página Web"='03.Muestra'!$D$8:$D$42,ROW('03.Muestra'!$F$8:$F$42)-MIN(ROW('03.Muestra'!$D$8:$D$42))+1,""),ROW()-1500)),"")</f>
        <v>https://www.comunidad.madrid/tacp/sitemap</v>
      </c>
      <c r="D1508" s="99" t="s">
        <v>104</v>
      </c>
      <c r="E1508" s="79" t="str">
        <f t="shared" si="78"/>
        <v/>
      </c>
      <c r="F1508" s="18"/>
      <c r="G1508" s="18"/>
      <c r="H1508" s="18"/>
      <c r="I1508" s="18"/>
      <c r="J1508" s="18"/>
      <c r="K1508" s="184"/>
      <c r="L1508" s="18"/>
    </row>
    <row r="1509" spans="1:12" ht="12" customHeight="1">
      <c r="A1509" s="39" t="str" cm="1">
        <f t="array" ref="A1509">IFERROR(INDEX('03.Muestra'!$B$8:$B$42,SMALL(IF("Página Web"='03.Muestra'!$D$8:$D$42,ROW('03.Muestra'!$B$8:$B$42)-MIN(ROW('03.Muestra'!$D$8:$D$42))+1,""),ROW()-1500)),"")</f>
        <v/>
      </c>
      <c r="B1509" s="85" t="str" cm="1">
        <f t="array" ref="B1509">IFERROR(INDEX('03.Muestra'!$C$8:$C$42,SMALL(IF("Página Web"='03.Muestra'!$D$8:$D$42,ROW('03.Muestra'!$C$8:$C$42)-MIN(ROW('03.Muestra'!$D$8:$D$42))+1,""),ROW()-1500)),"")</f>
        <v/>
      </c>
      <c r="C1509" s="85" t="str" cm="1">
        <f t="array" ref="C1509">IFERROR(INDEX('03.Muestra'!$F$8:$F$42,SMALL(IF("Página Web"='03.Muestra'!$D$8:$D$42,ROW('03.Muestra'!$F$8:$F$42)-MIN(ROW('03.Muestra'!$D$8:$D$42))+1,""),ROW()-1500)),"")</f>
        <v/>
      </c>
      <c r="D1509" s="99" t="str">
        <f t="shared" ref="D1509:D1535" si="79">IF(AND(B1509&lt;&gt;"",C1509&lt;&gt;""),"N/T","")</f>
        <v/>
      </c>
      <c r="E1509" s="79" t="str">
        <f t="shared" si="78"/>
        <v/>
      </c>
      <c r="F1509" s="18"/>
      <c r="G1509" s="18"/>
      <c r="H1509" s="18"/>
      <c r="I1509" s="18"/>
      <c r="J1509" s="18"/>
      <c r="K1509" s="184"/>
      <c r="L1509" s="18"/>
    </row>
    <row r="1510" spans="1:12" ht="12" customHeight="1">
      <c r="A1510" s="39" t="str" cm="1">
        <f t="array" ref="A1510">IFERROR(INDEX('03.Muestra'!$B$8:$B$42,SMALL(IF("Página Web"='03.Muestra'!$D$8:$D$42,ROW('03.Muestra'!$B$8:$B$42)-MIN(ROW('03.Muestra'!$D$8:$D$42))+1,""),ROW()-1500)),"")</f>
        <v/>
      </c>
      <c r="B1510" s="85" t="str" cm="1">
        <f t="array" ref="B1510">IFERROR(INDEX('03.Muestra'!$C$8:$C$42,SMALL(IF("Página Web"='03.Muestra'!$D$8:$D$42,ROW('03.Muestra'!$C$8:$C$42)-MIN(ROW('03.Muestra'!$D$8:$D$42))+1,""),ROW()-1500)),"")</f>
        <v/>
      </c>
      <c r="C1510" s="85" t="str" cm="1">
        <f t="array" ref="C1510">IFERROR(INDEX('03.Muestra'!$F$8:$F$42,SMALL(IF("Página Web"='03.Muestra'!$D$8:$D$42,ROW('03.Muestra'!$F$8:$F$42)-MIN(ROW('03.Muestra'!$D$8:$D$42))+1,""),ROW()-1500)),"")</f>
        <v/>
      </c>
      <c r="D1510" s="99" t="str">
        <f t="shared" si="79"/>
        <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si="79"/>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https://www.comunidad.madrid/tacp</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Presentación electrónica</v>
      </c>
      <c r="C1540" s="85" t="str" cm="1">
        <f t="array" ref="C1540">IFERROR(INDEX('03.Muestra'!$F$8:$F$42,SMALL(IF("Página Web"='03.Muestra'!$D$8:$D$42,ROW('03.Muestra'!$F$8:$F$42)-MIN(ROW('03.Muestra'!$D$8:$D$42))+1,""),ROW()-1538)),"")</f>
        <v>https://www.comunidad.madrid/tacp/el-tribunal/presentacion-electronica-e-impresos-normalizados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8</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Memorias</v>
      </c>
      <c r="C1541" s="85" t="str" cm="1">
        <f t="array" ref="C1541">IFERROR(INDEX('03.Muestra'!$F$8:$F$42,SMALL(IF("Página Web"='03.Muestra'!$D$8:$D$42,ROW('03.Muestra'!$F$8:$F$42)-MIN(ROW('03.Muestra'!$D$8:$D$42))+1,""),ROW()-1538)),"")</f>
        <v>https://www.comunidad.madrid/tacp/memorias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Buscador de resoluciones</v>
      </c>
      <c r="C1542" s="85" t="str" cm="1">
        <f t="array" ref="C1542">IFERROR(INDEX('03.Muestra'!$F$8:$F$42,SMALL(IF("Página Web"='03.Muestra'!$D$8:$D$42,ROW('03.Muestra'!$F$8:$F$42)-MIN(ROW('03.Muestra'!$D$8:$D$42))+1,""),ROW()-1538)),"")</f>
        <v>https://www.comunidad.madrid/tacp/busquedaresoluciones</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Novedades</v>
      </c>
      <c r="C1543" s="85" t="str" cm="1">
        <f t="array" ref="C1543">IFERROR(INDEX('03.Muestra'!$F$8:$F$42,SMALL(IF("Página Web"='03.Muestra'!$D$8:$D$42,ROW('03.Muestra'!$F$8:$F$42)-MIN(ROW('03.Muestra'!$D$8:$D$42))+1,""),ROW()-1538)),"")</f>
        <v>https://www.comunidad.madrid/tacp/novedades/publicacion-recursos-especiales-en-perfil-contratante</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Aviso Legal</v>
      </c>
      <c r="C1544" s="85" t="str" cm="1">
        <f t="array" ref="C1544">IFERROR(INDEX('03.Muestra'!$F$8:$F$42,SMALL(IF("Página Web"='03.Muestra'!$D$8:$D$42,ROW('03.Muestra'!$F$8:$F$42)-MIN(ROW('03.Muestra'!$D$8:$D$42))+1,""),ROW()-1538)),"")</f>
        <v>https://www.comunidad.madrid/tacp/aviso-legal</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Accesibilidad</v>
      </c>
      <c r="C1545" s="85" t="str" cm="1">
        <f t="array" ref="C1545">IFERROR(INDEX('03.Muestra'!$F$8:$F$42,SMALL(IF("Página Web"='03.Muestra'!$D$8:$D$42,ROW('03.Muestra'!$F$8:$F$42)-MIN(ROW('03.Muestra'!$D$8:$D$42))+1,""),ROW()-1538)),"")</f>
        <v>https://www.comunidad.madrid/tacp/accesibilidad</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Mapa Web</v>
      </c>
      <c r="C1546" s="85" t="str" cm="1">
        <f t="array" ref="C1546">IFERROR(INDEX('03.Muestra'!$F$8:$F$42,SMALL(IF("Página Web"='03.Muestra'!$D$8:$D$42,ROW('03.Muestra'!$F$8:$F$42)-MIN(ROW('03.Muestra'!$D$8:$D$42))+1,""),ROW()-1538)),"")</f>
        <v>https://www.comunidad.madrid/tacp/sitemap</v>
      </c>
      <c r="D1546" s="99" t="s">
        <v>92</v>
      </c>
      <c r="E1546" s="79" t="str">
        <f t="shared" si="80"/>
        <v/>
      </c>
      <c r="F1546" s="18"/>
      <c r="G1546" s="18"/>
      <c r="H1546" s="18"/>
      <c r="I1546" s="18"/>
      <c r="J1546" s="18"/>
      <c r="K1546" s="184"/>
      <c r="L1546" s="18"/>
    </row>
    <row r="1547" spans="1:12" ht="12" customHeight="1">
      <c r="A1547" s="39" t="str" cm="1">
        <f t="array" ref="A1547">IFERROR(INDEX('03.Muestra'!$B$8:$B$42,SMALL(IF("Página Web"='03.Muestra'!$D$8:$D$42,ROW('03.Muestra'!$B$8:$B$42)-MIN(ROW('03.Muestra'!$D$8:$D$42))+1,""),ROW()-1538)),"")</f>
        <v/>
      </c>
      <c r="B1547" s="85" t="str" cm="1">
        <f t="array" ref="B1547">IFERROR(INDEX('03.Muestra'!$C$8:$C$42,SMALL(IF("Página Web"='03.Muestra'!$D$8:$D$42,ROW('03.Muestra'!$C$8:$C$42)-MIN(ROW('03.Muestra'!$D$8:$D$42))+1,""),ROW()-1538)),"")</f>
        <v/>
      </c>
      <c r="C1547" s="85" t="str" cm="1">
        <f t="array" ref="C1547">IFERROR(INDEX('03.Muestra'!$F$8:$F$42,SMALL(IF("Página Web"='03.Muestra'!$D$8:$D$42,ROW('03.Muestra'!$F$8:$F$42)-MIN(ROW('03.Muestra'!$D$8:$D$42))+1,""),ROW()-1538)),"")</f>
        <v/>
      </c>
      <c r="D1547" s="99" t="str">
        <f t="shared" ref="D1547:D1573" si="81">IF(AND(B1547&lt;&gt;"",C1547&lt;&gt;""),"N/T","")</f>
        <v/>
      </c>
      <c r="E1547" s="79" t="str">
        <f t="shared" si="80"/>
        <v/>
      </c>
      <c r="F1547" s="18"/>
      <c r="G1547" s="18"/>
      <c r="H1547" s="18"/>
      <c r="I1547" s="18"/>
      <c r="J1547" s="18"/>
      <c r="K1547" s="184"/>
      <c r="L1547" s="18"/>
    </row>
    <row r="1548" spans="1:12" ht="12" customHeight="1">
      <c r="A1548" s="39" t="str" cm="1">
        <f t="array" ref="A1548">IFERROR(INDEX('03.Muestra'!$B$8:$B$42,SMALL(IF("Página Web"='03.Muestra'!$D$8:$D$42,ROW('03.Muestra'!$B$8:$B$42)-MIN(ROW('03.Muestra'!$D$8:$D$42))+1,""),ROW()-1538)),"")</f>
        <v/>
      </c>
      <c r="B1548" s="85" t="str" cm="1">
        <f t="array" ref="B1548">IFERROR(INDEX('03.Muestra'!$C$8:$C$42,SMALL(IF("Página Web"='03.Muestra'!$D$8:$D$42,ROW('03.Muestra'!$C$8:$C$42)-MIN(ROW('03.Muestra'!$D$8:$D$42))+1,""),ROW()-1538)),"")</f>
        <v/>
      </c>
      <c r="C1548" s="85" t="str" cm="1">
        <f t="array" ref="C1548">IFERROR(INDEX('03.Muestra'!$F$8:$F$42,SMALL(IF("Página Web"='03.Muestra'!$D$8:$D$42,ROW('03.Muestra'!$F$8:$F$42)-MIN(ROW('03.Muestra'!$D$8:$D$42))+1,""),ROW()-1538)),"")</f>
        <v/>
      </c>
      <c r="D1548" s="99" t="str">
        <f t="shared" si="81"/>
        <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si="81"/>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https://www.comunidad.madrid/tacp</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Presentación electrónica</v>
      </c>
      <c r="C1578" s="85" t="str" cm="1">
        <f t="array" ref="C1578">IFERROR(INDEX('03.Muestra'!$F$8:$F$42,SMALL(IF("Página Web"='03.Muestra'!$D$8:$D$42,ROW('03.Muestra'!$F$8:$F$42)-MIN(ROW('03.Muestra'!$D$8:$D$42))+1,""),ROW()-1576)),"")</f>
        <v>https://www.comunidad.madrid/tacp/el-tribunal/presentacion-electronica-e-impresos-normalizados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8</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Memorias</v>
      </c>
      <c r="C1579" s="85" t="str" cm="1">
        <f t="array" ref="C1579">IFERROR(INDEX('03.Muestra'!$F$8:$F$42,SMALL(IF("Página Web"='03.Muestra'!$D$8:$D$42,ROW('03.Muestra'!$F$8:$F$42)-MIN(ROW('03.Muestra'!$D$8:$D$42))+1,""),ROW()-1576)),"")</f>
        <v>https://www.comunidad.madrid/tacp/memorias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Buscador de resoluciones</v>
      </c>
      <c r="C1580" s="85" t="str" cm="1">
        <f t="array" ref="C1580">IFERROR(INDEX('03.Muestra'!$F$8:$F$42,SMALL(IF("Página Web"='03.Muestra'!$D$8:$D$42,ROW('03.Muestra'!$F$8:$F$42)-MIN(ROW('03.Muestra'!$D$8:$D$42))+1,""),ROW()-1576)),"")</f>
        <v>https://www.comunidad.madrid/tacp/busquedaresoluciones</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Novedades</v>
      </c>
      <c r="C1581" s="85" t="str" cm="1">
        <f t="array" ref="C1581">IFERROR(INDEX('03.Muestra'!$F$8:$F$42,SMALL(IF("Página Web"='03.Muestra'!$D$8:$D$42,ROW('03.Muestra'!$F$8:$F$42)-MIN(ROW('03.Muestra'!$D$8:$D$42))+1,""),ROW()-1576)),"")</f>
        <v>https://www.comunidad.madrid/tacp/novedades/publicacion-recursos-especiales-en-perfil-contratante</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Aviso Legal</v>
      </c>
      <c r="C1582" s="85" t="str" cm="1">
        <f t="array" ref="C1582">IFERROR(INDEX('03.Muestra'!$F$8:$F$42,SMALL(IF("Página Web"='03.Muestra'!$D$8:$D$42,ROW('03.Muestra'!$F$8:$F$42)-MIN(ROW('03.Muestra'!$D$8:$D$42))+1,""),ROW()-1576)),"")</f>
        <v>https://www.comunidad.madrid/tacp/aviso-legal</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Accesibilidad</v>
      </c>
      <c r="C1583" s="85" t="str" cm="1">
        <f t="array" ref="C1583">IFERROR(INDEX('03.Muestra'!$F$8:$F$42,SMALL(IF("Página Web"='03.Muestra'!$D$8:$D$42,ROW('03.Muestra'!$F$8:$F$42)-MIN(ROW('03.Muestra'!$D$8:$D$42))+1,""),ROW()-1576)),"")</f>
        <v>https://www.comunidad.madrid/tacp/accesibilidad</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Mapa Web</v>
      </c>
      <c r="C1584" s="85" t="str" cm="1">
        <f t="array" ref="C1584">IFERROR(INDEX('03.Muestra'!$F$8:$F$42,SMALL(IF("Página Web"='03.Muestra'!$D$8:$D$42,ROW('03.Muestra'!$F$8:$F$42)-MIN(ROW('03.Muestra'!$D$8:$D$42))+1,""),ROW()-1576)),"")</f>
        <v>https://www.comunidad.madrid/tacp/sitemap</v>
      </c>
      <c r="D1584" s="99" t="s">
        <v>92</v>
      </c>
      <c r="E1584" s="79" t="str">
        <f t="shared" si="82"/>
        <v/>
      </c>
      <c r="F1584" s="18"/>
      <c r="G1584" s="18"/>
      <c r="H1584" s="18"/>
      <c r="I1584" s="18"/>
      <c r="J1584" s="18"/>
      <c r="K1584" s="184"/>
      <c r="L1584" s="18"/>
    </row>
    <row r="1585" spans="1:12" ht="12" customHeight="1">
      <c r="A1585" s="39" t="str" cm="1">
        <f t="array" ref="A1585">IFERROR(INDEX('03.Muestra'!$B$8:$B$42,SMALL(IF("Página Web"='03.Muestra'!$D$8:$D$42,ROW('03.Muestra'!$B$8:$B$42)-MIN(ROW('03.Muestra'!$D$8:$D$42))+1,""),ROW()-1576)),"")</f>
        <v/>
      </c>
      <c r="B1585" s="85" t="str" cm="1">
        <f t="array" ref="B1585">IFERROR(INDEX('03.Muestra'!$C$8:$C$42,SMALL(IF("Página Web"='03.Muestra'!$D$8:$D$42,ROW('03.Muestra'!$C$8:$C$42)-MIN(ROW('03.Muestra'!$D$8:$D$42))+1,""),ROW()-1576)),"")</f>
        <v/>
      </c>
      <c r="C1585" s="85" t="str" cm="1">
        <f t="array" ref="C1585">IFERROR(INDEX('03.Muestra'!$F$8:$F$42,SMALL(IF("Página Web"='03.Muestra'!$D$8:$D$42,ROW('03.Muestra'!$F$8:$F$42)-MIN(ROW('03.Muestra'!$D$8:$D$42))+1,""),ROW()-1576)),"")</f>
        <v/>
      </c>
      <c r="D1585" s="99" t="str">
        <f t="shared" ref="D1585:D1611" si="83">IF(AND(B1585&lt;&gt;"",C1585&lt;&gt;""),"N/T","")</f>
        <v/>
      </c>
      <c r="E1585" s="79" t="str">
        <f t="shared" si="82"/>
        <v/>
      </c>
      <c r="F1585" s="18"/>
      <c r="G1585" s="18"/>
      <c r="H1585" s="18"/>
      <c r="I1585" s="18"/>
      <c r="J1585" s="18"/>
      <c r="K1585" s="184"/>
      <c r="L1585" s="18"/>
    </row>
    <row r="1586" spans="1:12" ht="12" customHeight="1">
      <c r="A1586" s="39" t="str" cm="1">
        <f t="array" ref="A1586">IFERROR(INDEX('03.Muestra'!$B$8:$B$42,SMALL(IF("Página Web"='03.Muestra'!$D$8:$D$42,ROW('03.Muestra'!$B$8:$B$42)-MIN(ROW('03.Muestra'!$D$8:$D$42))+1,""),ROW()-1576)),"")</f>
        <v/>
      </c>
      <c r="B1586" s="85" t="str" cm="1">
        <f t="array" ref="B1586">IFERROR(INDEX('03.Muestra'!$C$8:$C$42,SMALL(IF("Página Web"='03.Muestra'!$D$8:$D$42,ROW('03.Muestra'!$C$8:$C$42)-MIN(ROW('03.Muestra'!$D$8:$D$42))+1,""),ROW()-1576)),"")</f>
        <v/>
      </c>
      <c r="C1586" s="85" t="str" cm="1">
        <f t="array" ref="C1586">IFERROR(INDEX('03.Muestra'!$F$8:$F$42,SMALL(IF("Página Web"='03.Muestra'!$D$8:$D$42,ROW('03.Muestra'!$F$8:$F$42)-MIN(ROW('03.Muestra'!$D$8:$D$42))+1,""),ROW()-1576)),"")</f>
        <v/>
      </c>
      <c r="D1586" s="99" t="str">
        <f t="shared" si="83"/>
        <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si="83"/>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https://www.comunidad.madrid/tacp</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Presentación electrónica</v>
      </c>
      <c r="C1616" s="85" t="str" cm="1">
        <f t="array" ref="C1616">IFERROR(INDEX('03.Muestra'!$F$8:$F$42,SMALL(IF("Página Web"='03.Muestra'!$D$8:$D$42,ROW('03.Muestra'!$F$8:$F$42)-MIN(ROW('03.Muestra'!$D$8:$D$42))+1,""),ROW()-1614)),"")</f>
        <v>https://www.comunidad.madrid/tacp/el-tribunal/presentacion-electronica-e-impresos-normalizados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8</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Memorias</v>
      </c>
      <c r="C1617" s="85" t="str" cm="1">
        <f t="array" ref="C1617">IFERROR(INDEX('03.Muestra'!$F$8:$F$42,SMALL(IF("Página Web"='03.Muestra'!$D$8:$D$42,ROW('03.Muestra'!$F$8:$F$42)-MIN(ROW('03.Muestra'!$D$8:$D$42))+1,""),ROW()-1614)),"")</f>
        <v>https://www.comunidad.madrid/tacp/memorias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Buscador de resoluciones</v>
      </c>
      <c r="C1618" s="85" t="str" cm="1">
        <f t="array" ref="C1618">IFERROR(INDEX('03.Muestra'!$F$8:$F$42,SMALL(IF("Página Web"='03.Muestra'!$D$8:$D$42,ROW('03.Muestra'!$F$8:$F$42)-MIN(ROW('03.Muestra'!$D$8:$D$42))+1,""),ROW()-1614)),"")</f>
        <v>https://www.comunidad.madrid/tacp/busquedaresoluciones</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Novedades</v>
      </c>
      <c r="C1619" s="85" t="str" cm="1">
        <f t="array" ref="C1619">IFERROR(INDEX('03.Muestra'!$F$8:$F$42,SMALL(IF("Página Web"='03.Muestra'!$D$8:$D$42,ROW('03.Muestra'!$F$8:$F$42)-MIN(ROW('03.Muestra'!$D$8:$D$42))+1,""),ROW()-1614)),"")</f>
        <v>https://www.comunidad.madrid/tacp/novedades/publicacion-recursos-especiales-en-perfil-contratante</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Aviso Legal</v>
      </c>
      <c r="C1620" s="85" t="str" cm="1">
        <f t="array" ref="C1620">IFERROR(INDEX('03.Muestra'!$F$8:$F$42,SMALL(IF("Página Web"='03.Muestra'!$D$8:$D$42,ROW('03.Muestra'!$F$8:$F$42)-MIN(ROW('03.Muestra'!$D$8:$D$42))+1,""),ROW()-1614)),"")</f>
        <v>https://www.comunidad.madrid/tacp/aviso-legal</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Accesibilidad</v>
      </c>
      <c r="C1621" s="85" t="str" cm="1">
        <f t="array" ref="C1621">IFERROR(INDEX('03.Muestra'!$F$8:$F$42,SMALL(IF("Página Web"='03.Muestra'!$D$8:$D$42,ROW('03.Muestra'!$F$8:$F$42)-MIN(ROW('03.Muestra'!$D$8:$D$42))+1,""),ROW()-1614)),"")</f>
        <v>https://www.comunidad.madrid/tacp/accesibilidad</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Mapa Web</v>
      </c>
      <c r="C1622" s="85" t="str" cm="1">
        <f t="array" ref="C1622">IFERROR(INDEX('03.Muestra'!$F$8:$F$42,SMALL(IF("Página Web"='03.Muestra'!$D$8:$D$42,ROW('03.Muestra'!$F$8:$F$42)-MIN(ROW('03.Muestra'!$D$8:$D$42))+1,""),ROW()-1614)),"")</f>
        <v>https://www.comunidad.madrid/tacp/sitemap</v>
      </c>
      <c r="D1622" s="99" t="s">
        <v>104</v>
      </c>
      <c r="E1622" s="79" t="str">
        <f t="shared" si="84"/>
        <v/>
      </c>
      <c r="F1622" s="18"/>
      <c r="G1622" s="18"/>
      <c r="H1622" s="18"/>
      <c r="I1622" s="18"/>
      <c r="J1622" s="18"/>
      <c r="K1622" s="184"/>
    </row>
    <row r="1623" spans="1:11" ht="12" customHeight="1">
      <c r="A1623" s="39" t="str" cm="1">
        <f t="array" ref="A1623">IFERROR(INDEX('03.Muestra'!$B$8:$B$42,SMALL(IF("Página Web"='03.Muestra'!$D$8:$D$42,ROW('03.Muestra'!$B$8:$B$42)-MIN(ROW('03.Muestra'!$D$8:$D$42))+1,""),ROW()-1614)),"")</f>
        <v/>
      </c>
      <c r="B1623" s="85" t="str" cm="1">
        <f t="array" ref="B1623">IFERROR(INDEX('03.Muestra'!$C$8:$C$42,SMALL(IF("Página Web"='03.Muestra'!$D$8:$D$42,ROW('03.Muestra'!$C$8:$C$42)-MIN(ROW('03.Muestra'!$D$8:$D$42))+1,""),ROW()-1614)),"")</f>
        <v/>
      </c>
      <c r="C1623" s="85" t="str" cm="1">
        <f t="array" ref="C1623">IFERROR(INDEX('03.Muestra'!$F$8:$F$42,SMALL(IF("Página Web"='03.Muestra'!$D$8:$D$42,ROW('03.Muestra'!$F$8:$F$42)-MIN(ROW('03.Muestra'!$D$8:$D$42))+1,""),ROW()-1614)),"")</f>
        <v/>
      </c>
      <c r="D1623" s="99" t="str">
        <f t="shared" ref="D1623:D1649" si="85">IF(AND(B1623&lt;&gt;"",C1623&lt;&gt;""),"N/T","")</f>
        <v/>
      </c>
      <c r="E1623" s="79" t="str">
        <f t="shared" si="84"/>
        <v/>
      </c>
      <c r="F1623" s="18"/>
      <c r="G1623" s="18"/>
      <c r="H1623" s="18"/>
      <c r="I1623" s="18"/>
      <c r="J1623" s="18"/>
      <c r="K1623" s="184"/>
    </row>
    <row r="1624" spans="1:11" ht="12" customHeight="1">
      <c r="A1624" s="39" t="str" cm="1">
        <f t="array" ref="A1624">IFERROR(INDEX('03.Muestra'!$B$8:$B$42,SMALL(IF("Página Web"='03.Muestra'!$D$8:$D$42,ROW('03.Muestra'!$B$8:$B$42)-MIN(ROW('03.Muestra'!$D$8:$D$42))+1,""),ROW()-1614)),"")</f>
        <v/>
      </c>
      <c r="B1624" s="85" t="str" cm="1">
        <f t="array" ref="B1624">IFERROR(INDEX('03.Muestra'!$C$8:$C$42,SMALL(IF("Página Web"='03.Muestra'!$D$8:$D$42,ROW('03.Muestra'!$C$8:$C$42)-MIN(ROW('03.Muestra'!$D$8:$D$42))+1,""),ROW()-1614)),"")</f>
        <v/>
      </c>
      <c r="C1624" s="85" t="str" cm="1">
        <f t="array" ref="C1624">IFERROR(INDEX('03.Muestra'!$F$8:$F$42,SMALL(IF("Página Web"='03.Muestra'!$D$8:$D$42,ROW('03.Muestra'!$F$8:$F$42)-MIN(ROW('03.Muestra'!$D$8:$D$42))+1,""),ROW()-1614)),"")</f>
        <v/>
      </c>
      <c r="D1624" s="99" t="str">
        <f t="shared" si="85"/>
        <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si="85"/>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https://www.comunidad.madrid/tacp</v>
      </c>
      <c r="D1653" s="99" t="s">
        <v>104</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Presentación electrónica</v>
      </c>
      <c r="C1654" s="85" t="str" cm="1">
        <f t="array" ref="C1654">IFERROR(INDEX('03.Muestra'!$F$8:$F$42,SMALL(IF("Página Web"='03.Muestra'!$D$8:$D$42,ROW('03.Muestra'!$F$8:$F$42)-MIN(ROW('03.Muestra'!$D$8:$D$42))+1,""),ROW()-1652)),"")</f>
        <v>https://www.comunidad.madrid/tacp/el-tribunal/presentacion-electronica-e-impresos-normalizados</v>
      </c>
      <c r="D1654" s="99" t="s">
        <v>104</v>
      </c>
      <c r="E1654" s="79" t="str">
        <f t="shared" si="86"/>
        <v/>
      </c>
      <c r="F1654" s="91">
        <f ca="1">COUNTIF($D1653:INDIRECT("$D" &amp;  SUM(ROW()-1,'03.Muestra'!$D$45)-1),F1653)</f>
        <v>0</v>
      </c>
      <c r="G1654" s="91">
        <f ca="1">COUNTIF($D1653:INDIRECT("$D" &amp;  SUM(ROW()-1,'03.Muestra'!$D$45)-1),G1653)</f>
        <v>0</v>
      </c>
      <c r="H1654" s="91">
        <f ca="1">COUNTIF($D1653:INDIRECT("$D" &amp;  SUM(ROW()-1,'03.Muestra'!$D$45)-1),H1653)</f>
        <v>7</v>
      </c>
      <c r="I1654" s="91">
        <f ca="1">COUNTIF($D1653:INDIRECT("$D" &amp;  SUM(ROW()-1,'03.Muestra'!$D$45)-1),I1653)</f>
        <v>1</v>
      </c>
      <c r="J1654" s="91">
        <f ca="1">COUNTIF($D1653:INDIRECT("$D" &amp;  SUM(ROW()-1,'03.Muestra'!$D$45)-1),J1653)</f>
        <v>0</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Memorias</v>
      </c>
      <c r="C1655" s="85" t="str" cm="1">
        <f t="array" ref="C1655">IFERROR(INDEX('03.Muestra'!$F$8:$F$42,SMALL(IF("Página Web"='03.Muestra'!$D$8:$D$42,ROW('03.Muestra'!$F$8:$F$42)-MIN(ROW('03.Muestra'!$D$8:$D$42))+1,""),ROW()-1652)),"")</f>
        <v>https://www.comunidad.madrid/tacp/memorias</v>
      </c>
      <c r="D1655" s="99" t="s">
        <v>104</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Buscador de resoluciones</v>
      </c>
      <c r="C1656" s="85" t="str" cm="1">
        <f t="array" ref="C1656">IFERROR(INDEX('03.Muestra'!$F$8:$F$42,SMALL(IF("Página Web"='03.Muestra'!$D$8:$D$42,ROW('03.Muestra'!$F$8:$F$42)-MIN(ROW('03.Muestra'!$D$8:$D$42))+1,""),ROW()-1652)),"")</f>
        <v>https://www.comunidad.madrid/tacp/busquedaresoluciones</v>
      </c>
      <c r="D1656" s="99" t="s">
        <v>94</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Novedades</v>
      </c>
      <c r="C1657" s="85" t="str" cm="1">
        <f t="array" ref="C1657">IFERROR(INDEX('03.Muestra'!$F$8:$F$42,SMALL(IF("Página Web"='03.Muestra'!$D$8:$D$42,ROW('03.Muestra'!$F$8:$F$42)-MIN(ROW('03.Muestra'!$D$8:$D$42))+1,""),ROW()-1652)),"")</f>
        <v>https://www.comunidad.madrid/tacp/novedades/publicacion-recursos-especiales-en-perfil-contratante</v>
      </c>
      <c r="D1657" s="99" t="s">
        <v>104</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Aviso Legal</v>
      </c>
      <c r="C1658" s="85" t="str" cm="1">
        <f t="array" ref="C1658">IFERROR(INDEX('03.Muestra'!$F$8:$F$42,SMALL(IF("Página Web"='03.Muestra'!$D$8:$D$42,ROW('03.Muestra'!$F$8:$F$42)-MIN(ROW('03.Muestra'!$D$8:$D$42))+1,""),ROW()-1652)),"")</f>
        <v>https://www.comunidad.madrid/tacp/aviso-legal</v>
      </c>
      <c r="D1658" s="99" t="s">
        <v>104</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Accesibilidad</v>
      </c>
      <c r="C1659" s="85" t="str" cm="1">
        <f t="array" ref="C1659">IFERROR(INDEX('03.Muestra'!$F$8:$F$42,SMALL(IF("Página Web"='03.Muestra'!$D$8:$D$42,ROW('03.Muestra'!$F$8:$F$42)-MIN(ROW('03.Muestra'!$D$8:$D$42))+1,""),ROW()-1652)),"")</f>
        <v>https://www.comunidad.madrid/tacp/accesibilidad</v>
      </c>
      <c r="D1659" s="99" t="s">
        <v>104</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Mapa Web</v>
      </c>
      <c r="C1660" s="85" t="str" cm="1">
        <f t="array" ref="C1660">IFERROR(INDEX('03.Muestra'!$F$8:$F$42,SMALL(IF("Página Web"='03.Muestra'!$D$8:$D$42,ROW('03.Muestra'!$F$8:$F$42)-MIN(ROW('03.Muestra'!$D$8:$D$42))+1,""),ROW()-1652)),"")</f>
        <v>https://www.comunidad.madrid/tacp/sitemap</v>
      </c>
      <c r="D1660" s="99" t="s">
        <v>104</v>
      </c>
      <c r="E1660" s="79" t="str">
        <f t="shared" si="86"/>
        <v/>
      </c>
      <c r="F1660" s="18"/>
      <c r="G1660" s="18"/>
      <c r="H1660" s="18"/>
      <c r="I1660" s="18"/>
      <c r="J1660" s="18"/>
      <c r="K1660" s="184"/>
    </row>
    <row r="1661" spans="1:11" ht="12" customHeight="1">
      <c r="A1661" s="39" t="str" cm="1">
        <f t="array" ref="A1661">IFERROR(INDEX('03.Muestra'!$B$8:$B$42,SMALL(IF("Página Web"='03.Muestra'!$D$8:$D$42,ROW('03.Muestra'!$B$8:$B$42)-MIN(ROW('03.Muestra'!$D$8:$D$42))+1,""),ROW()-1652)),"")</f>
        <v/>
      </c>
      <c r="B1661" s="85" t="str" cm="1">
        <f t="array" ref="B1661">IFERROR(INDEX('03.Muestra'!$C$8:$C$42,SMALL(IF("Página Web"='03.Muestra'!$D$8:$D$42,ROW('03.Muestra'!$C$8:$C$42)-MIN(ROW('03.Muestra'!$D$8:$D$42))+1,""),ROW()-1652)),"")</f>
        <v/>
      </c>
      <c r="C1661" s="85" t="str" cm="1">
        <f t="array" ref="C1661">IFERROR(INDEX('03.Muestra'!$F$8:$F$42,SMALL(IF("Página Web"='03.Muestra'!$D$8:$D$42,ROW('03.Muestra'!$F$8:$F$42)-MIN(ROW('03.Muestra'!$D$8:$D$42))+1,""),ROW()-1652)),"")</f>
        <v/>
      </c>
      <c r="D1661" s="99" t="str">
        <f t="shared" ref="D1661:D1687" si="87">IF(AND(B1661&lt;&gt;"",C1661&lt;&gt;""),"N/T","")</f>
        <v/>
      </c>
      <c r="E1661" s="79" t="str">
        <f t="shared" si="86"/>
        <v/>
      </c>
      <c r="F1661" s="18"/>
      <c r="G1661" s="18"/>
      <c r="H1661" s="18"/>
      <c r="I1661" s="18"/>
      <c r="J1661" s="18"/>
      <c r="K1661" s="184"/>
    </row>
    <row r="1662" spans="1:11" ht="12" customHeight="1">
      <c r="A1662" s="39" t="str" cm="1">
        <f t="array" ref="A1662">IFERROR(INDEX('03.Muestra'!$B$8:$B$42,SMALL(IF("Página Web"='03.Muestra'!$D$8:$D$42,ROW('03.Muestra'!$B$8:$B$42)-MIN(ROW('03.Muestra'!$D$8:$D$42))+1,""),ROW()-1652)),"")</f>
        <v/>
      </c>
      <c r="B1662" s="85" t="str" cm="1">
        <f t="array" ref="B1662">IFERROR(INDEX('03.Muestra'!$C$8:$C$42,SMALL(IF("Página Web"='03.Muestra'!$D$8:$D$42,ROW('03.Muestra'!$C$8:$C$42)-MIN(ROW('03.Muestra'!$D$8:$D$42))+1,""),ROW()-1652)),"")</f>
        <v/>
      </c>
      <c r="C1662" s="85" t="str" cm="1">
        <f t="array" ref="C1662">IFERROR(INDEX('03.Muestra'!$F$8:$F$42,SMALL(IF("Página Web"='03.Muestra'!$D$8:$D$42,ROW('03.Muestra'!$F$8:$F$42)-MIN(ROW('03.Muestra'!$D$8:$D$42))+1,""),ROW()-1652)),"")</f>
        <v/>
      </c>
      <c r="D1662" s="99" t="str">
        <f t="shared" si="87"/>
        <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si="87"/>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https://www.comunidad.madrid/tacp</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Presentación electrónica</v>
      </c>
      <c r="C1692" s="85" t="str" cm="1">
        <f t="array" ref="C1692">IFERROR(INDEX('03.Muestra'!$F$8:$F$42,SMALL(IF("Página Web"='03.Muestra'!$D$8:$D$42,ROW('03.Muestra'!$F$8:$F$42)-MIN(ROW('03.Muestra'!$D$8:$D$42))+1,""),ROW()-1690)),"")</f>
        <v>https://www.comunidad.madrid/tacp/el-tribunal/presentacion-electronica-e-impresos-normalizados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8</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Memorias</v>
      </c>
      <c r="C1693" s="85" t="str" cm="1">
        <f t="array" ref="C1693">IFERROR(INDEX('03.Muestra'!$F$8:$F$42,SMALL(IF("Página Web"='03.Muestra'!$D$8:$D$42,ROW('03.Muestra'!$F$8:$F$42)-MIN(ROW('03.Muestra'!$D$8:$D$42))+1,""),ROW()-1690)),"")</f>
        <v>https://www.comunidad.madrid/tacp/memorias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Buscador de resoluciones</v>
      </c>
      <c r="C1694" s="85" t="str" cm="1">
        <f t="array" ref="C1694">IFERROR(INDEX('03.Muestra'!$F$8:$F$42,SMALL(IF("Página Web"='03.Muestra'!$D$8:$D$42,ROW('03.Muestra'!$F$8:$F$42)-MIN(ROW('03.Muestra'!$D$8:$D$42))+1,""),ROW()-1690)),"")</f>
        <v>https://www.comunidad.madrid/tacp/busquedaresoluciones</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Novedades</v>
      </c>
      <c r="C1695" s="85" t="str" cm="1">
        <f t="array" ref="C1695">IFERROR(INDEX('03.Muestra'!$F$8:$F$42,SMALL(IF("Página Web"='03.Muestra'!$D$8:$D$42,ROW('03.Muestra'!$F$8:$F$42)-MIN(ROW('03.Muestra'!$D$8:$D$42))+1,""),ROW()-1690)),"")</f>
        <v>https://www.comunidad.madrid/tacp/novedades/publicacion-recursos-especiales-en-perfil-contratante</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Aviso Legal</v>
      </c>
      <c r="C1696" s="85" t="str" cm="1">
        <f t="array" ref="C1696">IFERROR(INDEX('03.Muestra'!$F$8:$F$42,SMALL(IF("Página Web"='03.Muestra'!$D$8:$D$42,ROW('03.Muestra'!$F$8:$F$42)-MIN(ROW('03.Muestra'!$D$8:$D$42))+1,""),ROW()-1690)),"")</f>
        <v>https://www.comunidad.madrid/tacp/aviso-legal</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Accesibilidad</v>
      </c>
      <c r="C1697" s="85" t="str" cm="1">
        <f t="array" ref="C1697">IFERROR(INDEX('03.Muestra'!$F$8:$F$42,SMALL(IF("Página Web"='03.Muestra'!$D$8:$D$42,ROW('03.Muestra'!$F$8:$F$42)-MIN(ROW('03.Muestra'!$D$8:$D$42))+1,""),ROW()-1690)),"")</f>
        <v>https://www.comunidad.madrid/tacp/accesibilidad</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Mapa Web</v>
      </c>
      <c r="C1698" s="85" t="str" cm="1">
        <f t="array" ref="C1698">IFERROR(INDEX('03.Muestra'!$F$8:$F$42,SMALL(IF("Página Web"='03.Muestra'!$D$8:$D$42,ROW('03.Muestra'!$F$8:$F$42)-MIN(ROW('03.Muestra'!$D$8:$D$42))+1,""),ROW()-1690)),"")</f>
        <v>https://www.comunidad.madrid/tacp/sitemap</v>
      </c>
      <c r="D1698" s="99" t="s">
        <v>104</v>
      </c>
      <c r="E1698" s="79" t="str">
        <f t="shared" si="88"/>
        <v/>
      </c>
      <c r="F1698" s="18"/>
      <c r="G1698" s="18"/>
      <c r="H1698" s="18"/>
      <c r="I1698" s="18"/>
      <c r="J1698" s="18"/>
      <c r="K1698" s="184"/>
    </row>
    <row r="1699" spans="1:11" ht="12" customHeight="1">
      <c r="A1699" s="39" t="str" cm="1">
        <f t="array" ref="A1699">IFERROR(INDEX('03.Muestra'!$B$8:$B$42,SMALL(IF("Página Web"='03.Muestra'!$D$8:$D$42,ROW('03.Muestra'!$B$8:$B$42)-MIN(ROW('03.Muestra'!$D$8:$D$42))+1,""),ROW()-1690)),"")</f>
        <v/>
      </c>
      <c r="B1699" s="85" t="str" cm="1">
        <f t="array" ref="B1699">IFERROR(INDEX('03.Muestra'!$C$8:$C$42,SMALL(IF("Página Web"='03.Muestra'!$D$8:$D$42,ROW('03.Muestra'!$C$8:$C$42)-MIN(ROW('03.Muestra'!$D$8:$D$42))+1,""),ROW()-1690)),"")</f>
        <v/>
      </c>
      <c r="C1699" s="85" t="str" cm="1">
        <f t="array" ref="C1699">IFERROR(INDEX('03.Muestra'!$F$8:$F$42,SMALL(IF("Página Web"='03.Muestra'!$D$8:$D$42,ROW('03.Muestra'!$F$8:$F$42)-MIN(ROW('03.Muestra'!$D$8:$D$42))+1,""),ROW()-1690)),"")</f>
        <v/>
      </c>
      <c r="D1699" s="99" t="str">
        <f t="shared" ref="D1699:D1725" si="89">IF(AND(B1699&lt;&gt;"",C1699&lt;&gt;""),"N/T","")</f>
        <v/>
      </c>
      <c r="E1699" s="79" t="str">
        <f t="shared" si="88"/>
        <v/>
      </c>
      <c r="F1699" s="18"/>
      <c r="G1699" s="18"/>
      <c r="H1699" s="18"/>
      <c r="I1699" s="18"/>
      <c r="J1699" s="18"/>
      <c r="K1699" s="184"/>
    </row>
    <row r="1700" spans="1:11" ht="12" customHeight="1">
      <c r="A1700" s="39" t="str" cm="1">
        <f t="array" ref="A1700">IFERROR(INDEX('03.Muestra'!$B$8:$B$42,SMALL(IF("Página Web"='03.Muestra'!$D$8:$D$42,ROW('03.Muestra'!$B$8:$B$42)-MIN(ROW('03.Muestra'!$D$8:$D$42))+1,""),ROW()-1690)),"")</f>
        <v/>
      </c>
      <c r="B1700" s="85" t="str" cm="1">
        <f t="array" ref="B1700">IFERROR(INDEX('03.Muestra'!$C$8:$C$42,SMALL(IF("Página Web"='03.Muestra'!$D$8:$D$42,ROW('03.Muestra'!$C$8:$C$42)-MIN(ROW('03.Muestra'!$D$8:$D$42))+1,""),ROW()-1690)),"")</f>
        <v/>
      </c>
      <c r="C1700" s="85" t="str" cm="1">
        <f t="array" ref="C1700">IFERROR(INDEX('03.Muestra'!$F$8:$F$42,SMALL(IF("Página Web"='03.Muestra'!$D$8:$D$42,ROW('03.Muestra'!$F$8:$F$42)-MIN(ROW('03.Muestra'!$D$8:$D$42))+1,""),ROW()-1690)),"")</f>
        <v/>
      </c>
      <c r="D1700" s="99" t="str">
        <f t="shared" si="89"/>
        <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si="89"/>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https://www.comunidad.madrid/tacp</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Presentación electrónica</v>
      </c>
      <c r="C1730" s="85" t="str" cm="1">
        <f t="array" ref="C1730">IFERROR(INDEX('03.Muestra'!$F$8:$F$42,SMALL(IF("Página Web"='03.Muestra'!$D$8:$D$42,ROW('03.Muestra'!$F$8:$F$42)-MIN(ROW('03.Muestra'!$D$8:$D$42))+1,""),ROW()-1728)),"")</f>
        <v>https://www.comunidad.madrid/tacp/el-tribunal/presentacion-electronica-e-impresos-normalizados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8</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Memorias</v>
      </c>
      <c r="C1731" s="85" t="str" cm="1">
        <f t="array" ref="C1731">IFERROR(INDEX('03.Muestra'!$F$8:$F$42,SMALL(IF("Página Web"='03.Muestra'!$D$8:$D$42,ROW('03.Muestra'!$F$8:$F$42)-MIN(ROW('03.Muestra'!$D$8:$D$42))+1,""),ROW()-1728)),"")</f>
        <v>https://www.comunidad.madrid/tacp/memorias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Buscador de resoluciones</v>
      </c>
      <c r="C1732" s="85" t="str" cm="1">
        <f t="array" ref="C1732">IFERROR(INDEX('03.Muestra'!$F$8:$F$42,SMALL(IF("Página Web"='03.Muestra'!$D$8:$D$42,ROW('03.Muestra'!$F$8:$F$42)-MIN(ROW('03.Muestra'!$D$8:$D$42))+1,""),ROW()-1728)),"")</f>
        <v>https://www.comunidad.madrid/tacp/busquedaresoluciones</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Novedades</v>
      </c>
      <c r="C1733" s="85" t="str" cm="1">
        <f t="array" ref="C1733">IFERROR(INDEX('03.Muestra'!$F$8:$F$42,SMALL(IF("Página Web"='03.Muestra'!$D$8:$D$42,ROW('03.Muestra'!$F$8:$F$42)-MIN(ROW('03.Muestra'!$D$8:$D$42))+1,""),ROW()-1728)),"")</f>
        <v>https://www.comunidad.madrid/tacp/novedades/publicacion-recursos-especiales-en-perfil-contratante</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Aviso Legal</v>
      </c>
      <c r="C1734" s="85" t="str" cm="1">
        <f t="array" ref="C1734">IFERROR(INDEX('03.Muestra'!$F$8:$F$42,SMALL(IF("Página Web"='03.Muestra'!$D$8:$D$42,ROW('03.Muestra'!$F$8:$F$42)-MIN(ROW('03.Muestra'!$D$8:$D$42))+1,""),ROW()-1728)),"")</f>
        <v>https://www.comunidad.madrid/tacp/aviso-legal</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Accesibilidad</v>
      </c>
      <c r="C1735" s="85" t="str" cm="1">
        <f t="array" ref="C1735">IFERROR(INDEX('03.Muestra'!$F$8:$F$42,SMALL(IF("Página Web"='03.Muestra'!$D$8:$D$42,ROW('03.Muestra'!$F$8:$F$42)-MIN(ROW('03.Muestra'!$D$8:$D$42))+1,""),ROW()-1728)),"")</f>
        <v>https://www.comunidad.madrid/tacp/accesibilidad</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Mapa Web</v>
      </c>
      <c r="C1736" s="85" t="str" cm="1">
        <f t="array" ref="C1736">IFERROR(INDEX('03.Muestra'!$F$8:$F$42,SMALL(IF("Página Web"='03.Muestra'!$D$8:$D$42,ROW('03.Muestra'!$F$8:$F$42)-MIN(ROW('03.Muestra'!$D$8:$D$42))+1,""),ROW()-1728)),"")</f>
        <v>https://www.comunidad.madrid/tacp/sitemap</v>
      </c>
      <c r="D1736" s="99" t="s">
        <v>104</v>
      </c>
      <c r="E1736" s="79" t="str">
        <f t="shared" si="90"/>
        <v/>
      </c>
      <c r="F1736" s="18"/>
      <c r="G1736" s="18"/>
      <c r="H1736" s="18"/>
      <c r="I1736" s="18"/>
      <c r="J1736" s="18"/>
      <c r="K1736" s="184"/>
    </row>
    <row r="1737" spans="1:11" ht="12" customHeight="1">
      <c r="A1737" s="39" t="str" cm="1">
        <f t="array" ref="A1737">IFERROR(INDEX('03.Muestra'!$B$8:$B$42,SMALL(IF("Página Web"='03.Muestra'!$D$8:$D$42,ROW('03.Muestra'!$B$8:$B$42)-MIN(ROW('03.Muestra'!$D$8:$D$42))+1,""),ROW()-1728)),"")</f>
        <v/>
      </c>
      <c r="B1737" s="85" t="str" cm="1">
        <f t="array" ref="B1737">IFERROR(INDEX('03.Muestra'!$C$8:$C$42,SMALL(IF("Página Web"='03.Muestra'!$D$8:$D$42,ROW('03.Muestra'!$C$8:$C$42)-MIN(ROW('03.Muestra'!$D$8:$D$42))+1,""),ROW()-1728)),"")</f>
        <v/>
      </c>
      <c r="C1737" s="85" t="str" cm="1">
        <f t="array" ref="C1737">IFERROR(INDEX('03.Muestra'!$F$8:$F$42,SMALL(IF("Página Web"='03.Muestra'!$D$8:$D$42,ROW('03.Muestra'!$F$8:$F$42)-MIN(ROW('03.Muestra'!$D$8:$D$42))+1,""),ROW()-1728)),"")</f>
        <v/>
      </c>
      <c r="D1737" s="99" t="str">
        <f t="shared" ref="D1737:D1763" si="91">IF(AND(B1737&lt;&gt;"",C1737&lt;&gt;""),"N/T","")</f>
        <v/>
      </c>
      <c r="E1737" s="79" t="str">
        <f t="shared" si="90"/>
        <v/>
      </c>
      <c r="F1737" s="18"/>
      <c r="G1737" s="18"/>
      <c r="H1737" s="18"/>
      <c r="I1737" s="18"/>
      <c r="J1737" s="18"/>
      <c r="K1737" s="184"/>
    </row>
    <row r="1738" spans="1:11" ht="12" customHeight="1">
      <c r="A1738" s="39" t="str" cm="1">
        <f t="array" ref="A1738">IFERROR(INDEX('03.Muestra'!$B$8:$B$42,SMALL(IF("Página Web"='03.Muestra'!$D$8:$D$42,ROW('03.Muestra'!$B$8:$B$42)-MIN(ROW('03.Muestra'!$D$8:$D$42))+1,""),ROW()-1728)),"")</f>
        <v/>
      </c>
      <c r="B1738" s="85" t="str" cm="1">
        <f t="array" ref="B1738">IFERROR(INDEX('03.Muestra'!$C$8:$C$42,SMALL(IF("Página Web"='03.Muestra'!$D$8:$D$42,ROW('03.Muestra'!$C$8:$C$42)-MIN(ROW('03.Muestra'!$D$8:$D$42))+1,""),ROW()-1728)),"")</f>
        <v/>
      </c>
      <c r="C1738" s="85" t="str" cm="1">
        <f t="array" ref="C1738">IFERROR(INDEX('03.Muestra'!$F$8:$F$42,SMALL(IF("Página Web"='03.Muestra'!$D$8:$D$42,ROW('03.Muestra'!$F$8:$F$42)-MIN(ROW('03.Muestra'!$D$8:$D$42))+1,""),ROW()-1728)),"")</f>
        <v/>
      </c>
      <c r="D1738" s="99" t="str">
        <f t="shared" si="91"/>
        <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si="91"/>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https://www.comunidad.madrid/tacp</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Presentación electrónica</v>
      </c>
      <c r="C1768" s="85" t="str" cm="1">
        <f t="array" ref="C1768">IFERROR(INDEX('03.Muestra'!$F$8:$F$42,SMALL(IF("Página Web"='03.Muestra'!$D$8:$D$42,ROW('03.Muestra'!$F$8:$F$42)-MIN(ROW('03.Muestra'!$D$8:$D$42))+1,""),ROW()-1766)),"")</f>
        <v>https://www.comunidad.madrid/tacp/el-tribunal/presentacion-electronica-e-impresos-normalizados</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8</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Memorias</v>
      </c>
      <c r="C1769" s="85" t="str" cm="1">
        <f t="array" ref="C1769">IFERROR(INDEX('03.Muestra'!$F$8:$F$42,SMALL(IF("Página Web"='03.Muestra'!$D$8:$D$42,ROW('03.Muestra'!$F$8:$F$42)-MIN(ROW('03.Muestra'!$D$8:$D$42))+1,""),ROW()-1766)),"")</f>
        <v>https://www.comunidad.madrid/tacp/memorias</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Buscador de resoluciones</v>
      </c>
      <c r="C1770" s="85" t="str" cm="1">
        <f t="array" ref="C1770">IFERROR(INDEX('03.Muestra'!$F$8:$F$42,SMALL(IF("Página Web"='03.Muestra'!$D$8:$D$42,ROW('03.Muestra'!$F$8:$F$42)-MIN(ROW('03.Muestra'!$D$8:$D$42))+1,""),ROW()-1766)),"")</f>
        <v>https://www.comunidad.madrid/tacp/busquedaresoluciones</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Novedades</v>
      </c>
      <c r="C1771" s="85" t="str" cm="1">
        <f t="array" ref="C1771">IFERROR(INDEX('03.Muestra'!$F$8:$F$42,SMALL(IF("Página Web"='03.Muestra'!$D$8:$D$42,ROW('03.Muestra'!$F$8:$F$42)-MIN(ROW('03.Muestra'!$D$8:$D$42))+1,""),ROW()-1766)),"")</f>
        <v>https://www.comunidad.madrid/tacp/novedades/publicacion-recursos-especiales-en-perfil-contratante</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Aviso Legal</v>
      </c>
      <c r="C1772" s="85" t="str" cm="1">
        <f t="array" ref="C1772">IFERROR(INDEX('03.Muestra'!$F$8:$F$42,SMALL(IF("Página Web"='03.Muestra'!$D$8:$D$42,ROW('03.Muestra'!$F$8:$F$42)-MIN(ROW('03.Muestra'!$D$8:$D$42))+1,""),ROW()-1766)),"")</f>
        <v>https://www.comunidad.madrid/tacp/aviso-legal</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Accesibilidad</v>
      </c>
      <c r="C1773" s="85" t="str" cm="1">
        <f t="array" ref="C1773">IFERROR(INDEX('03.Muestra'!$F$8:$F$42,SMALL(IF("Página Web"='03.Muestra'!$D$8:$D$42,ROW('03.Muestra'!$F$8:$F$42)-MIN(ROW('03.Muestra'!$D$8:$D$42))+1,""),ROW()-1766)),"")</f>
        <v>https://www.comunidad.madrid/tacp/accesibilidad</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Mapa Web</v>
      </c>
      <c r="C1774" s="85" t="str" cm="1">
        <f t="array" ref="C1774">IFERROR(INDEX('03.Muestra'!$F$8:$F$42,SMALL(IF("Página Web"='03.Muestra'!$D$8:$D$42,ROW('03.Muestra'!$F$8:$F$42)-MIN(ROW('03.Muestra'!$D$8:$D$42))+1,""),ROW()-1766)),"")</f>
        <v>https://www.comunidad.madrid/tacp/sitemap</v>
      </c>
      <c r="D1774" s="99" t="s">
        <v>92</v>
      </c>
      <c r="E1774" s="79" t="str">
        <f t="shared" si="92"/>
        <v/>
      </c>
      <c r="F1774" s="18"/>
      <c r="G1774" s="18"/>
      <c r="H1774" s="18"/>
      <c r="I1774" s="18"/>
      <c r="J1774" s="18"/>
      <c r="K1774" s="184"/>
    </row>
    <row r="1775" spans="1:11" ht="12" customHeight="1">
      <c r="A1775" s="39" t="str" cm="1">
        <f t="array" ref="A1775">IFERROR(INDEX('03.Muestra'!$B$8:$B$42,SMALL(IF("Página Web"='03.Muestra'!$D$8:$D$42,ROW('03.Muestra'!$B$8:$B$42)-MIN(ROW('03.Muestra'!$D$8:$D$42))+1,""),ROW()-1766)),"")</f>
        <v/>
      </c>
      <c r="B1775" s="85" t="str" cm="1">
        <f t="array" ref="B1775">IFERROR(INDEX('03.Muestra'!$C$8:$C$42,SMALL(IF("Página Web"='03.Muestra'!$D$8:$D$42,ROW('03.Muestra'!$C$8:$C$42)-MIN(ROW('03.Muestra'!$D$8:$D$42))+1,""),ROW()-1766)),"")</f>
        <v/>
      </c>
      <c r="C1775" s="85" t="str" cm="1">
        <f t="array" ref="C1775">IFERROR(INDEX('03.Muestra'!$F$8:$F$42,SMALL(IF("Página Web"='03.Muestra'!$D$8:$D$42,ROW('03.Muestra'!$F$8:$F$42)-MIN(ROW('03.Muestra'!$D$8:$D$42))+1,""),ROW()-1766)),"")</f>
        <v/>
      </c>
      <c r="D1775" s="99" t="str">
        <f t="shared" ref="D1775:D1801" si="93">IF(AND(B1775&lt;&gt;"",C1775&lt;&gt;""),"N/T","")</f>
        <v/>
      </c>
      <c r="E1775" s="79" t="str">
        <f t="shared" si="92"/>
        <v/>
      </c>
      <c r="F1775" s="18"/>
      <c r="G1775" s="18"/>
      <c r="H1775" s="18"/>
      <c r="I1775" s="18"/>
      <c r="J1775" s="18"/>
      <c r="K1775" s="184"/>
    </row>
    <row r="1776" spans="1:11" ht="12" customHeight="1">
      <c r="A1776" s="39" t="str" cm="1">
        <f t="array" ref="A1776">IFERROR(INDEX('03.Muestra'!$B$8:$B$42,SMALL(IF("Página Web"='03.Muestra'!$D$8:$D$42,ROW('03.Muestra'!$B$8:$B$42)-MIN(ROW('03.Muestra'!$D$8:$D$42))+1,""),ROW()-1766)),"")</f>
        <v/>
      </c>
      <c r="B1776" s="85" t="str" cm="1">
        <f t="array" ref="B1776">IFERROR(INDEX('03.Muestra'!$C$8:$C$42,SMALL(IF("Página Web"='03.Muestra'!$D$8:$D$42,ROW('03.Muestra'!$C$8:$C$42)-MIN(ROW('03.Muestra'!$D$8:$D$42))+1,""),ROW()-1766)),"")</f>
        <v/>
      </c>
      <c r="C1776" s="85" t="str" cm="1">
        <f t="array" ref="C1776">IFERROR(INDEX('03.Muestra'!$F$8:$F$42,SMALL(IF("Página Web"='03.Muestra'!$D$8:$D$42,ROW('03.Muestra'!$F$8:$F$42)-MIN(ROW('03.Muestra'!$D$8:$D$42))+1,""),ROW()-1766)),"")</f>
        <v/>
      </c>
      <c r="D1776" s="99" t="str">
        <f t="shared" si="93"/>
        <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si="93"/>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https://www.comunidad.madrid/tacp</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Presentación electrónica</v>
      </c>
      <c r="C1806" s="85" t="str" cm="1">
        <f t="array" ref="C1806">IFERROR(INDEX('03.Muestra'!$F$8:$F$42,SMALL(IF("Página Web"='03.Muestra'!$D$8:$D$42,ROW('03.Muestra'!$F$8:$F$42)-MIN(ROW('03.Muestra'!$D$8:$D$42))+1,""),ROW()-1804)),"")</f>
        <v>https://www.comunidad.madrid/tacp/el-tribunal/presentacion-electronica-e-impresos-normalizados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1</v>
      </c>
      <c r="J1806" s="91">
        <f ca="1">COUNTIF($D1805:INDIRECT("$D" &amp;  SUM(ROW()-1,'03.Muestra'!$D$45)-1),J1805)</f>
        <v>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Memorias</v>
      </c>
      <c r="C1807" s="85" t="str" cm="1">
        <f t="array" ref="C1807">IFERROR(INDEX('03.Muestra'!$F$8:$F$42,SMALL(IF("Página Web"='03.Muestra'!$D$8:$D$42,ROW('03.Muestra'!$F$8:$F$42)-MIN(ROW('03.Muestra'!$D$8:$D$42))+1,""),ROW()-1804)),"")</f>
        <v>https://www.comunidad.madrid/tacp/memorias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Buscador de resoluciones</v>
      </c>
      <c r="C1808" s="85" t="str" cm="1">
        <f t="array" ref="C1808">IFERROR(INDEX('03.Muestra'!$F$8:$F$42,SMALL(IF("Página Web"='03.Muestra'!$D$8:$D$42,ROW('03.Muestra'!$F$8:$F$42)-MIN(ROW('03.Muestra'!$D$8:$D$42))+1,""),ROW()-1804)),"")</f>
        <v>https://www.comunidad.madrid/tacp/busquedaresoluciones</v>
      </c>
      <c r="D1808" s="99" t="s">
        <v>94</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Novedades</v>
      </c>
      <c r="C1809" s="85" t="str" cm="1">
        <f t="array" ref="C1809">IFERROR(INDEX('03.Muestra'!$F$8:$F$42,SMALL(IF("Página Web"='03.Muestra'!$D$8:$D$42,ROW('03.Muestra'!$F$8:$F$42)-MIN(ROW('03.Muestra'!$D$8:$D$42))+1,""),ROW()-1804)),"")</f>
        <v>https://www.comunidad.madrid/tacp/novedades/publicacion-recursos-especiales-en-perfil-contratante</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Aviso Legal</v>
      </c>
      <c r="C1810" s="85" t="str" cm="1">
        <f t="array" ref="C1810">IFERROR(INDEX('03.Muestra'!$F$8:$F$42,SMALL(IF("Página Web"='03.Muestra'!$D$8:$D$42,ROW('03.Muestra'!$F$8:$F$42)-MIN(ROW('03.Muestra'!$D$8:$D$42))+1,""),ROW()-1804)),"")</f>
        <v>https://www.comunidad.madrid/tacp/aviso-legal</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Accesibilidad</v>
      </c>
      <c r="C1811" s="85" t="str" cm="1">
        <f t="array" ref="C1811">IFERROR(INDEX('03.Muestra'!$F$8:$F$42,SMALL(IF("Página Web"='03.Muestra'!$D$8:$D$42,ROW('03.Muestra'!$F$8:$F$42)-MIN(ROW('03.Muestra'!$D$8:$D$42))+1,""),ROW()-1804)),"")</f>
        <v>https://www.comunidad.madrid/tacp/accesibilidad</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Mapa Web</v>
      </c>
      <c r="C1812" s="85" t="str" cm="1">
        <f t="array" ref="C1812">IFERROR(INDEX('03.Muestra'!$F$8:$F$42,SMALL(IF("Página Web"='03.Muestra'!$D$8:$D$42,ROW('03.Muestra'!$F$8:$F$42)-MIN(ROW('03.Muestra'!$D$8:$D$42))+1,""),ROW()-1804)),"")</f>
        <v>https://www.comunidad.madrid/tacp/sitemap</v>
      </c>
      <c r="D1812" s="99" t="s">
        <v>92</v>
      </c>
      <c r="E1812" s="79" t="str">
        <f t="shared" si="94"/>
        <v/>
      </c>
      <c r="F1812" s="18"/>
      <c r="G1812" s="18"/>
      <c r="H1812" s="18"/>
      <c r="I1812" s="18"/>
      <c r="J1812" s="18"/>
      <c r="K1812" s="184"/>
    </row>
    <row r="1813" spans="1:11" ht="12" customHeight="1">
      <c r="A1813" s="39" t="str" cm="1">
        <f t="array" ref="A1813">IFERROR(INDEX('03.Muestra'!$B$8:$B$42,SMALL(IF("Página Web"='03.Muestra'!$D$8:$D$42,ROW('03.Muestra'!$B$8:$B$42)-MIN(ROW('03.Muestra'!$D$8:$D$42))+1,""),ROW()-1804)),"")</f>
        <v/>
      </c>
      <c r="B1813" s="85" t="str" cm="1">
        <f t="array" ref="B1813">IFERROR(INDEX('03.Muestra'!$C$8:$C$42,SMALL(IF("Página Web"='03.Muestra'!$D$8:$D$42,ROW('03.Muestra'!$C$8:$C$42)-MIN(ROW('03.Muestra'!$D$8:$D$42))+1,""),ROW()-1804)),"")</f>
        <v/>
      </c>
      <c r="C1813" s="85" t="str" cm="1">
        <f t="array" ref="C1813">IFERROR(INDEX('03.Muestra'!$F$8:$F$42,SMALL(IF("Página Web"='03.Muestra'!$D$8:$D$42,ROW('03.Muestra'!$F$8:$F$42)-MIN(ROW('03.Muestra'!$D$8:$D$42))+1,""),ROW()-1804)),"")</f>
        <v/>
      </c>
      <c r="D1813" s="99" t="str">
        <f t="shared" ref="D1813:D1839" si="95">IF(AND(B1813&lt;&gt;"",C1813&lt;&gt;""),"N/T","")</f>
        <v/>
      </c>
      <c r="E1813" s="79" t="str">
        <f t="shared" si="94"/>
        <v/>
      </c>
      <c r="F1813" s="18"/>
      <c r="G1813" s="18"/>
      <c r="H1813" s="18"/>
      <c r="I1813" s="18"/>
      <c r="J1813" s="18"/>
      <c r="K1813" s="184"/>
    </row>
    <row r="1814" spans="1:11" ht="12" customHeight="1">
      <c r="A1814" s="39" t="str" cm="1">
        <f t="array" ref="A1814">IFERROR(INDEX('03.Muestra'!$B$8:$B$42,SMALL(IF("Página Web"='03.Muestra'!$D$8:$D$42,ROW('03.Muestra'!$B$8:$B$42)-MIN(ROW('03.Muestra'!$D$8:$D$42))+1,""),ROW()-1804)),"")</f>
        <v/>
      </c>
      <c r="B1814" s="85" t="str" cm="1">
        <f t="array" ref="B1814">IFERROR(INDEX('03.Muestra'!$C$8:$C$42,SMALL(IF("Página Web"='03.Muestra'!$D$8:$D$42,ROW('03.Muestra'!$C$8:$C$42)-MIN(ROW('03.Muestra'!$D$8:$D$42))+1,""),ROW()-1804)),"")</f>
        <v/>
      </c>
      <c r="C1814" s="85" t="str" cm="1">
        <f t="array" ref="C1814">IFERROR(INDEX('03.Muestra'!$F$8:$F$42,SMALL(IF("Página Web"='03.Muestra'!$D$8:$D$42,ROW('03.Muestra'!$F$8:$F$42)-MIN(ROW('03.Muestra'!$D$8:$D$42))+1,""),ROW()-1804)),"")</f>
        <v/>
      </c>
      <c r="D1814" s="99" t="str">
        <f t="shared" si="95"/>
        <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si="95"/>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https://www.comunidad.madrid/tacp</v>
      </c>
      <c r="D1843" s="99" t="s">
        <v>104</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Presentación electrónica</v>
      </c>
      <c r="C1844" s="85" t="str" cm="1">
        <f t="array" ref="C1844">IFERROR(INDEX('03.Muestra'!$F$8:$F$42,SMALL(IF("Página Web"='03.Muestra'!$D$8:$D$42,ROW('03.Muestra'!$F$8:$F$42)-MIN(ROW('03.Muestra'!$D$8:$D$42))+1,""),ROW()-1842)),"")</f>
        <v>https://www.comunidad.madrid/tacp/el-tribunal/presentacion-electronica-e-impresos-normalizados</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7</v>
      </c>
      <c r="I1844" s="91">
        <f ca="1">COUNTIF($D1843:INDIRECT("$D" &amp;  SUM(ROW()-1,'03.Muestra'!$D$45)-1),I1843)</f>
        <v>0</v>
      </c>
      <c r="J1844" s="91">
        <f ca="1">COUNTIF($D1843:INDIRECT("$D" &amp;  SUM(ROW()-1,'03.Muestra'!$D$45)-1),J1843)</f>
        <v>1</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Memorias</v>
      </c>
      <c r="C1845" s="85" t="str" cm="1">
        <f t="array" ref="C1845">IFERROR(INDEX('03.Muestra'!$F$8:$F$42,SMALL(IF("Página Web"='03.Muestra'!$D$8:$D$42,ROW('03.Muestra'!$F$8:$F$42)-MIN(ROW('03.Muestra'!$D$8:$D$42))+1,""),ROW()-1842)),"")</f>
        <v>https://www.comunidad.madrid/tacp/memorias</v>
      </c>
      <c r="D1845" s="99" t="s">
        <v>104</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Buscador de resoluciones</v>
      </c>
      <c r="C1846" s="85" t="str" cm="1">
        <f t="array" ref="C1846">IFERROR(INDEX('03.Muestra'!$F$8:$F$42,SMALL(IF("Página Web"='03.Muestra'!$D$8:$D$42,ROW('03.Muestra'!$F$8:$F$42)-MIN(ROW('03.Muestra'!$D$8:$D$42))+1,""),ROW()-1842)),"")</f>
        <v>https://www.comunidad.madrid/tacp/busquedaresoluciones</v>
      </c>
      <c r="D1846" s="99" t="s">
        <v>92</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Novedades</v>
      </c>
      <c r="C1847" s="85" t="str" cm="1">
        <f t="array" ref="C1847">IFERROR(INDEX('03.Muestra'!$F$8:$F$42,SMALL(IF("Página Web"='03.Muestra'!$D$8:$D$42,ROW('03.Muestra'!$F$8:$F$42)-MIN(ROW('03.Muestra'!$D$8:$D$42))+1,""),ROW()-1842)),"")</f>
        <v>https://www.comunidad.madrid/tacp/novedades/publicacion-recursos-especiales-en-perfil-contratante</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Aviso Legal</v>
      </c>
      <c r="C1848" s="85" t="str" cm="1">
        <f t="array" ref="C1848">IFERROR(INDEX('03.Muestra'!$F$8:$F$42,SMALL(IF("Página Web"='03.Muestra'!$D$8:$D$42,ROW('03.Muestra'!$F$8:$F$42)-MIN(ROW('03.Muestra'!$D$8:$D$42))+1,""),ROW()-1842)),"")</f>
        <v>https://www.comunidad.madrid/tacp/aviso-legal</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Accesibilidad</v>
      </c>
      <c r="C1849" s="85" t="str" cm="1">
        <f t="array" ref="C1849">IFERROR(INDEX('03.Muestra'!$F$8:$F$42,SMALL(IF("Página Web"='03.Muestra'!$D$8:$D$42,ROW('03.Muestra'!$F$8:$F$42)-MIN(ROW('03.Muestra'!$D$8:$D$42))+1,""),ROW()-1842)),"")</f>
        <v>https://www.comunidad.madrid/tacp/accesibilidad</v>
      </c>
      <c r="D1849" s="99" t="s">
        <v>104</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Mapa Web</v>
      </c>
      <c r="C1850" s="85" t="str" cm="1">
        <f t="array" ref="C1850">IFERROR(INDEX('03.Muestra'!$F$8:$F$42,SMALL(IF("Página Web"='03.Muestra'!$D$8:$D$42,ROW('03.Muestra'!$F$8:$F$42)-MIN(ROW('03.Muestra'!$D$8:$D$42))+1,""),ROW()-1842)),"")</f>
        <v>https://www.comunidad.madrid/tacp/sitemap</v>
      </c>
      <c r="D1850" s="99" t="s">
        <v>104</v>
      </c>
      <c r="E1850" s="79" t="str">
        <f t="shared" si="96"/>
        <v/>
      </c>
      <c r="F1850" s="18"/>
      <c r="G1850" s="18"/>
      <c r="H1850" s="18"/>
      <c r="I1850" s="18"/>
      <c r="J1850" s="18"/>
      <c r="K1850" s="184"/>
    </row>
    <row r="1851" spans="1:11" ht="12" customHeight="1">
      <c r="A1851" s="39" t="str" cm="1">
        <f t="array" ref="A1851">IFERROR(INDEX('03.Muestra'!$B$8:$B$42,SMALL(IF("Página Web"='03.Muestra'!$D$8:$D$42,ROW('03.Muestra'!$B$8:$B$42)-MIN(ROW('03.Muestra'!$D$8:$D$42))+1,""),ROW()-1842)),"")</f>
        <v/>
      </c>
      <c r="B1851" s="85" t="str" cm="1">
        <f t="array" ref="B1851">IFERROR(INDEX('03.Muestra'!$C$8:$C$42,SMALL(IF("Página Web"='03.Muestra'!$D$8:$D$42,ROW('03.Muestra'!$C$8:$C$42)-MIN(ROW('03.Muestra'!$D$8:$D$42))+1,""),ROW()-1842)),"")</f>
        <v/>
      </c>
      <c r="C1851" s="85" t="str" cm="1">
        <f t="array" ref="C1851">IFERROR(INDEX('03.Muestra'!$F$8:$F$42,SMALL(IF("Página Web"='03.Muestra'!$D$8:$D$42,ROW('03.Muestra'!$F$8:$F$42)-MIN(ROW('03.Muestra'!$D$8:$D$42))+1,""),ROW()-1842)),"")</f>
        <v/>
      </c>
      <c r="D1851" s="99" t="str">
        <f t="shared" ref="D1851:D1877" si="97">IF(AND(B1851&lt;&gt;"",C1851&lt;&gt;""),"N/T","")</f>
        <v/>
      </c>
      <c r="E1851" s="79" t="str">
        <f t="shared" si="96"/>
        <v/>
      </c>
      <c r="F1851" s="18"/>
      <c r="G1851" s="18"/>
      <c r="H1851" s="18"/>
      <c r="I1851" s="18"/>
      <c r="J1851" s="18"/>
      <c r="K1851" s="184"/>
    </row>
    <row r="1852" spans="1:11" ht="12" customHeight="1">
      <c r="A1852" s="39" t="str" cm="1">
        <f t="array" ref="A1852">IFERROR(INDEX('03.Muestra'!$B$8:$B$42,SMALL(IF("Página Web"='03.Muestra'!$D$8:$D$42,ROW('03.Muestra'!$B$8:$B$42)-MIN(ROW('03.Muestra'!$D$8:$D$42))+1,""),ROW()-1842)),"")</f>
        <v/>
      </c>
      <c r="B1852" s="85" t="str" cm="1">
        <f t="array" ref="B1852">IFERROR(INDEX('03.Muestra'!$C$8:$C$42,SMALL(IF("Página Web"='03.Muestra'!$D$8:$D$42,ROW('03.Muestra'!$C$8:$C$42)-MIN(ROW('03.Muestra'!$D$8:$D$42))+1,""),ROW()-1842)),"")</f>
        <v/>
      </c>
      <c r="C1852" s="85" t="str" cm="1">
        <f t="array" ref="C1852">IFERROR(INDEX('03.Muestra'!$F$8:$F$42,SMALL(IF("Página Web"='03.Muestra'!$D$8:$D$42,ROW('03.Muestra'!$F$8:$F$42)-MIN(ROW('03.Muestra'!$D$8:$D$42))+1,""),ROW()-1842)),"")</f>
        <v/>
      </c>
      <c r="D1852" s="99" t="str">
        <f t="shared" si="97"/>
        <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si="97"/>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4.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https://www.comunidad.madrid/tacp</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Presentación electrónica</v>
      </c>
      <c r="C1882" s="85" t="str" cm="1">
        <f t="array" ref="C1882">IFERROR(INDEX('03.Muestra'!$F$8:$F$42,SMALL(IF("Página Web"='03.Muestra'!$D$8:$D$42,ROW('03.Muestra'!$F$8:$F$42)-MIN(ROW('03.Muestra'!$D$8:$D$42))+1,""),ROW()-1880)),"")</f>
        <v>https://www.comunidad.madrid/tacp/el-tribunal/presentacion-electronica-e-impresos-normalizados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8</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Memorias</v>
      </c>
      <c r="C1883" s="85" t="str" cm="1">
        <f t="array" ref="C1883">IFERROR(INDEX('03.Muestra'!$F$8:$F$42,SMALL(IF("Página Web"='03.Muestra'!$D$8:$D$42,ROW('03.Muestra'!$F$8:$F$42)-MIN(ROW('03.Muestra'!$D$8:$D$42))+1,""),ROW()-1880)),"")</f>
        <v>https://www.comunidad.madrid/tacp/memorias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Buscador de resoluciones</v>
      </c>
      <c r="C1884" s="85" t="str" cm="1">
        <f t="array" ref="C1884">IFERROR(INDEX('03.Muestra'!$F$8:$F$42,SMALL(IF("Página Web"='03.Muestra'!$D$8:$D$42,ROW('03.Muestra'!$F$8:$F$42)-MIN(ROW('03.Muestra'!$D$8:$D$42))+1,""),ROW()-1880)),"")</f>
        <v>https://www.comunidad.madrid/tacp/busquedaresoluciones</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Novedades</v>
      </c>
      <c r="C1885" s="85" t="str" cm="1">
        <f t="array" ref="C1885">IFERROR(INDEX('03.Muestra'!$F$8:$F$42,SMALL(IF("Página Web"='03.Muestra'!$D$8:$D$42,ROW('03.Muestra'!$F$8:$F$42)-MIN(ROW('03.Muestra'!$D$8:$D$42))+1,""),ROW()-1880)),"")</f>
        <v>https://www.comunidad.madrid/tacp/novedades/publicacion-recursos-especiales-en-perfil-contratante</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Aviso Legal</v>
      </c>
      <c r="C1886" s="85" t="str" cm="1">
        <f t="array" ref="C1886">IFERROR(INDEX('03.Muestra'!$F$8:$F$42,SMALL(IF("Página Web"='03.Muestra'!$D$8:$D$42,ROW('03.Muestra'!$F$8:$F$42)-MIN(ROW('03.Muestra'!$D$8:$D$42))+1,""),ROW()-1880)),"")</f>
        <v>https://www.comunidad.madrid/tacp/aviso-legal</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Accesibilidad</v>
      </c>
      <c r="C1887" s="85" t="str" cm="1">
        <f t="array" ref="C1887">IFERROR(INDEX('03.Muestra'!$F$8:$F$42,SMALL(IF("Página Web"='03.Muestra'!$D$8:$D$42,ROW('03.Muestra'!$F$8:$F$42)-MIN(ROW('03.Muestra'!$D$8:$D$42))+1,""),ROW()-1880)),"")</f>
        <v>https://www.comunidad.madrid/tacp/accesibilidad</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Mapa Web</v>
      </c>
      <c r="C1888" s="85" t="str" cm="1">
        <f t="array" ref="C1888">IFERROR(INDEX('03.Muestra'!$F$8:$F$42,SMALL(IF("Página Web"='03.Muestra'!$D$8:$D$42,ROW('03.Muestra'!$F$8:$F$42)-MIN(ROW('03.Muestra'!$D$8:$D$42))+1,""),ROW()-1880)),"")</f>
        <v>https://www.comunidad.madrid/tacp/sitemap</v>
      </c>
      <c r="D1888" s="99" t="s">
        <v>94</v>
      </c>
      <c r="E1888" s="79" t="str">
        <f t="shared" si="98"/>
        <v/>
      </c>
      <c r="F1888" s="18"/>
      <c r="G1888" s="18"/>
      <c r="H1888" s="18"/>
      <c r="I1888" s="18"/>
      <c r="J1888" s="18"/>
      <c r="K1888" s="184"/>
    </row>
    <row r="1889" spans="1:11" ht="12" customHeight="1">
      <c r="A1889" s="39" t="str" cm="1">
        <f t="array" ref="A1889">IFERROR(INDEX('03.Muestra'!$B$8:$B$42,SMALL(IF("Página Web"='03.Muestra'!$D$8:$D$42,ROW('03.Muestra'!$B$8:$B$42)-MIN(ROW('03.Muestra'!$D$8:$D$42))+1,""),ROW()-1880)),"")</f>
        <v/>
      </c>
      <c r="B1889" s="85" t="str" cm="1">
        <f t="array" ref="B1889">IFERROR(INDEX('03.Muestra'!$C$8:$C$42,SMALL(IF("Página Web"='03.Muestra'!$D$8:$D$42,ROW('03.Muestra'!$C$8:$C$42)-MIN(ROW('03.Muestra'!$D$8:$D$42))+1,""),ROW()-1880)),"")</f>
        <v/>
      </c>
      <c r="C1889" s="85" t="str" cm="1">
        <f t="array" ref="C1889">IFERROR(INDEX('03.Muestra'!$F$8:$F$42,SMALL(IF("Página Web"='03.Muestra'!$D$8:$D$42,ROW('03.Muestra'!$F$8:$F$42)-MIN(ROW('03.Muestra'!$D$8:$D$42))+1,""),ROW()-1880)),"")</f>
        <v/>
      </c>
      <c r="D1889" s="99" t="str">
        <f t="shared" ref="D1889:D1915" si="99">IF(AND(B1889&lt;&gt;"",C1889&lt;&gt;""),"N/T","")</f>
        <v/>
      </c>
      <c r="E1889" s="79" t="str">
        <f t="shared" si="98"/>
        <v/>
      </c>
      <c r="F1889" s="18"/>
      <c r="G1889" s="18"/>
      <c r="H1889" s="18"/>
      <c r="I1889" s="18"/>
      <c r="J1889" s="18"/>
      <c r="K1889" s="184"/>
    </row>
    <row r="1890" spans="1:11" ht="12" customHeight="1">
      <c r="A1890" s="39" t="str" cm="1">
        <f t="array" ref="A1890">IFERROR(INDEX('03.Muestra'!$B$8:$B$42,SMALL(IF("Página Web"='03.Muestra'!$D$8:$D$42,ROW('03.Muestra'!$B$8:$B$42)-MIN(ROW('03.Muestra'!$D$8:$D$42))+1,""),ROW()-1880)),"")</f>
        <v/>
      </c>
      <c r="B1890" s="85" t="str" cm="1">
        <f t="array" ref="B1890">IFERROR(INDEX('03.Muestra'!$C$8:$C$42,SMALL(IF("Página Web"='03.Muestra'!$D$8:$D$42,ROW('03.Muestra'!$C$8:$C$42)-MIN(ROW('03.Muestra'!$D$8:$D$42))+1,""),ROW()-1880)),"")</f>
        <v/>
      </c>
      <c r="C1890" s="85" t="str" cm="1">
        <f t="array" ref="C1890">IFERROR(INDEX('03.Muestra'!$F$8:$F$42,SMALL(IF("Página Web"='03.Muestra'!$D$8:$D$42,ROW('03.Muestra'!$F$8:$F$42)-MIN(ROW('03.Muestra'!$D$8:$D$42))+1,""),ROW()-1880)),"")</f>
        <v/>
      </c>
      <c r="D1890" s="99" t="str">
        <f t="shared" si="99"/>
        <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si="99"/>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4.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3" stopIfTrue="1" operator="equal">
      <formula>"-"</formula>
    </cfRule>
    <cfRule type="cellIs" dxfId="814" priority="365" stopIfTrue="1" operator="equal">
      <formula>"Pasa"</formula>
    </cfRule>
    <cfRule type="expression" dxfId="813" priority="364" stopIfTrue="1">
      <formula>ISBLANK(D57)</formula>
    </cfRule>
    <cfRule type="cellIs" dxfId="812" priority="369" stopIfTrue="1" operator="equal">
      <formula>"N/D"</formula>
    </cfRule>
    <cfRule type="cellIs" dxfId="811" priority="368" stopIfTrue="1" operator="equal">
      <formula>"N/T"</formula>
    </cfRule>
    <cfRule type="cellIs" dxfId="810" priority="367" stopIfTrue="1" operator="equal">
      <formula>"N/A"</formula>
    </cfRule>
    <cfRule type="cellIs" dxfId="809" priority="366" stopIfTrue="1" operator="equal">
      <formula>"Falla"</formula>
    </cfRule>
  </conditionalFormatting>
  <conditionalFormatting sqref="D95:D129">
    <cfRule type="cellIs" dxfId="808" priority="362" stopIfTrue="1" operator="equal">
      <formula>"N/D"</formula>
    </cfRule>
    <cfRule type="cellIs" dxfId="807" priority="359" stopIfTrue="1" operator="equal">
      <formula>"Falla"</formula>
    </cfRule>
    <cfRule type="expression" dxfId="806" priority="357" stopIfTrue="1">
      <formula>ISBLANK(D95)</formula>
    </cfRule>
    <cfRule type="cellIs" dxfId="805" priority="356" stopIfTrue="1" operator="equal">
      <formula>"-"</formula>
    </cfRule>
    <cfRule type="cellIs" dxfId="804" priority="360" stopIfTrue="1" operator="equal">
      <formula>"N/A"</formula>
    </cfRule>
    <cfRule type="cellIs" dxfId="803" priority="358" stopIfTrue="1" operator="equal">
      <formula>"Pasa"</formula>
    </cfRule>
    <cfRule type="cellIs" dxfId="802" priority="361" stopIfTrue="1" operator="equal">
      <formula>"N/T"</formula>
    </cfRule>
  </conditionalFormatting>
  <conditionalFormatting sqref="D133:D167">
    <cfRule type="cellIs" dxfId="801" priority="352" stopIfTrue="1" operator="equal">
      <formula>"Falla"</formula>
    </cfRule>
    <cfRule type="cellIs" dxfId="800" priority="351" stopIfTrue="1" operator="equal">
      <formula>"Pasa"</formula>
    </cfRule>
    <cfRule type="expression" dxfId="799" priority="350" stopIfTrue="1">
      <formula>ISBLANK(D133)</formula>
    </cfRule>
    <cfRule type="cellIs" dxfId="798" priority="349" stopIfTrue="1" operator="equal">
      <formula>"-"</formula>
    </cfRule>
    <cfRule type="cellIs" dxfId="797" priority="353" stopIfTrue="1" operator="equal">
      <formula>"N/A"</formula>
    </cfRule>
    <cfRule type="cellIs" dxfId="796" priority="355" stopIfTrue="1" operator="equal">
      <formula>"N/D"</formula>
    </cfRule>
    <cfRule type="cellIs" dxfId="795" priority="354" stopIfTrue="1" operator="equal">
      <formula>"N/T"</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8" stopIfTrue="1" operator="equal">
      <formula>"Falla"</formula>
    </cfRule>
    <cfRule type="cellIs" dxfId="790" priority="337" stopIfTrue="1" operator="equal">
      <formula>"Pasa"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1" stopIfTrue="1" operator="equal">
      <formula>"Falla"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4" stopIfTrue="1" operator="equal">
      <formula>"Falla"</formula>
    </cfRule>
    <cfRule type="cellIs" dxfId="776" priority="323" stopIfTrue="1" operator="equal">
      <formula>"Pasa"</formula>
    </cfRule>
    <cfRule type="expression" dxfId="775" priority="322" stopIfTrue="1">
      <formula>ISBLANK(D247)</formula>
    </cfRule>
    <cfRule type="cellIs" dxfId="774" priority="321" stopIfTrue="1" operator="equal">
      <formula>"-"</formula>
    </cfRule>
  </conditionalFormatting>
  <conditionalFormatting sqref="D285:D319">
    <cfRule type="cellIs" dxfId="773" priority="314" stopIfTrue="1" operator="equal">
      <formula>"-"</formula>
    </cfRule>
    <cfRule type="cellIs" dxfId="772" priority="316" stopIfTrue="1" operator="equal">
      <formula>"Pasa"</formula>
    </cfRule>
    <cfRule type="expression" dxfId="771" priority="315" stopIfTrue="1">
      <formula>ISBLANK(D285)</formula>
    </cfRule>
    <cfRule type="cellIs" dxfId="770" priority="318" stopIfTrue="1" operator="equal">
      <formula>"N/A"</formula>
    </cfRule>
    <cfRule type="cellIs" dxfId="769" priority="320" stopIfTrue="1" operator="equal">
      <formula>"N/D"</formula>
    </cfRule>
    <cfRule type="cellIs" dxfId="768" priority="319" stopIfTrue="1" operator="equal">
      <formula>"N/T"</formula>
    </cfRule>
    <cfRule type="cellIs" dxfId="767" priority="317" stopIfTrue="1" operator="equal">
      <formula>"Falla"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1" stopIfTrue="1" operator="equal">
      <formula>"N/A"</formula>
    </cfRule>
    <cfRule type="cellIs" dxfId="761" priority="313" stopIfTrue="1" operator="equal">
      <formula>"N/D"</formula>
    </cfRule>
    <cfRule type="cellIs" dxfId="760" priority="312" stopIfTrue="1" operator="equal">
      <formula>"N/T"</formula>
    </cfRule>
  </conditionalFormatting>
  <conditionalFormatting sqref="D361:D395">
    <cfRule type="cellIs" dxfId="759" priority="306" stopIfTrue="1" operator="equal">
      <formula>"N/D"</formula>
    </cfRule>
    <cfRule type="cellIs" dxfId="758" priority="305" stopIfTrue="1" operator="equal">
      <formula>"N/T"</formula>
    </cfRule>
    <cfRule type="cellIs" dxfId="757" priority="304" stopIfTrue="1" operator="equal">
      <formula>"N/A"</formula>
    </cfRule>
    <cfRule type="cellIs" dxfId="756" priority="303" stopIfTrue="1" operator="equal">
      <formula>"Falla"</formula>
    </cfRule>
    <cfRule type="cellIs" dxfId="755" priority="302" stopIfTrue="1" operator="equal">
      <formula>"Pasa"</formula>
    </cfRule>
    <cfRule type="expression" dxfId="754" priority="301" stopIfTrue="1">
      <formula>ISBLANK(D361)</formula>
    </cfRule>
    <cfRule type="cellIs" dxfId="753" priority="300" stopIfTrue="1" operator="equal">
      <formula>"-"</formula>
    </cfRule>
  </conditionalFormatting>
  <conditionalFormatting sqref="D399:D433">
    <cfRule type="cellIs" dxfId="752" priority="296" stopIfTrue="1" operator="equal">
      <formula>"Falla"</formula>
    </cfRule>
    <cfRule type="cellIs" dxfId="751" priority="295" stopIfTrue="1" operator="equal">
      <formula>"Pasa"</formula>
    </cfRule>
    <cfRule type="expression" dxfId="750" priority="294" stopIfTrue="1">
      <formula>ISBLANK(D399)</formula>
    </cfRule>
    <cfRule type="cellIs" dxfId="749" priority="293" stopIfTrue="1" operator="equal">
      <formula>"-"</formula>
    </cfRule>
    <cfRule type="cellIs" dxfId="748" priority="297" stopIfTrue="1" operator="equal">
      <formula>"N/A"</formula>
    </cfRule>
    <cfRule type="cellIs" dxfId="747" priority="298" stopIfTrue="1" operator="equal">
      <formula>"N/T"</formula>
    </cfRule>
    <cfRule type="cellIs" dxfId="746" priority="299" stopIfTrue="1" operator="equal">
      <formula>"N/D"</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5" stopIfTrue="1" operator="equal">
      <formula>"N/D"</formula>
    </cfRule>
    <cfRule type="expression" dxfId="736" priority="280" stopIfTrue="1">
      <formula>ISBLANK(D475)</formula>
    </cfRule>
    <cfRule type="cellIs" dxfId="735" priority="279" stopIfTrue="1" operator="equal">
      <formula>"-"</formula>
    </cfRule>
    <cfRule type="cellIs" dxfId="734" priority="284" stopIfTrue="1" operator="equal">
      <formula>"N/T"</formula>
    </cfRule>
    <cfRule type="cellIs" dxfId="733" priority="281" stopIfTrue="1" operator="equal">
      <formula>"Pasa"</formula>
    </cfRule>
    <cfRule type="cellIs" dxfId="732" priority="283" stopIfTrue="1" operator="equal">
      <formula>"N/A"</formula>
    </cfRule>
  </conditionalFormatting>
  <conditionalFormatting sqref="D513:D547">
    <cfRule type="cellIs" dxfId="731" priority="275" stopIfTrue="1" operator="equal">
      <formula>"Falla"</formula>
    </cfRule>
    <cfRule type="cellIs" dxfId="730" priority="278" stopIfTrue="1" operator="equal">
      <formula>"N/D"</formula>
    </cfRule>
    <cfRule type="expression" dxfId="729" priority="273" stopIfTrue="1">
      <formula>ISBLANK(D513)</formula>
    </cfRule>
    <cfRule type="cellIs" dxfId="728" priority="272" stopIfTrue="1" operator="equal">
      <formula>"-"</formula>
    </cfRule>
    <cfRule type="cellIs" dxfId="727" priority="274" stopIfTrue="1" operator="equal">
      <formula>"Pasa"</formula>
    </cfRule>
    <cfRule type="cellIs" dxfId="726" priority="276" stopIfTrue="1" operator="equal">
      <formula>"N/A"</formula>
    </cfRule>
    <cfRule type="cellIs" dxfId="725" priority="277" stopIfTrue="1" operator="equal">
      <formula>"N/T"</formula>
    </cfRule>
  </conditionalFormatting>
  <conditionalFormatting sqref="D551:D585">
    <cfRule type="cellIs" dxfId="724" priority="268" stopIfTrue="1" operator="equal">
      <formula>"Falla"</formula>
    </cfRule>
    <cfRule type="cellIs" dxfId="723" priority="267" stopIfTrue="1" operator="equal">
      <formula>"Pasa"</formula>
    </cfRule>
    <cfRule type="expression" dxfId="722" priority="266" stopIfTrue="1">
      <formula>ISBLANK(D551)</formula>
    </cfRule>
    <cfRule type="cellIs" dxfId="721" priority="265" stopIfTrue="1" operator="equal">
      <formula>"-"</formula>
    </cfRule>
    <cfRule type="cellIs" dxfId="720" priority="269" stopIfTrue="1" operator="equal">
      <formula>"N/A"</formula>
    </cfRule>
    <cfRule type="cellIs" dxfId="719" priority="271" stopIfTrue="1" operator="equal">
      <formula>"N/D"</formula>
    </cfRule>
    <cfRule type="cellIs" dxfId="718" priority="270" stopIfTrue="1" operator="equal">
      <formula>"N/T"</formula>
    </cfRule>
  </conditionalFormatting>
  <conditionalFormatting sqref="D589:D623">
    <cfRule type="cellIs" dxfId="717" priority="264" stopIfTrue="1" operator="equal">
      <formula>"N/D"</formula>
    </cfRule>
    <cfRule type="cellIs" dxfId="716" priority="263" stopIfTrue="1" operator="equal">
      <formula>"N/T"</formula>
    </cfRule>
    <cfRule type="cellIs" dxfId="715" priority="262" stopIfTrue="1" operator="equal">
      <formula>"N/A"</formula>
    </cfRule>
    <cfRule type="cellIs" dxfId="714" priority="261" stopIfTrue="1" operator="equal">
      <formula>"Falla"</formula>
    </cfRule>
    <cfRule type="cellIs" dxfId="713" priority="260" stopIfTrue="1" operator="equal">
      <formula>"Pasa"</formula>
    </cfRule>
    <cfRule type="expression" dxfId="712" priority="259" stopIfTrue="1">
      <formula>ISBLANK(D589)</formula>
    </cfRule>
    <cfRule type="cellIs" dxfId="711" priority="258" stopIfTrue="1" operator="equal">
      <formula>"-"</formula>
    </cfRule>
  </conditionalFormatting>
  <conditionalFormatting sqref="D627:D661">
    <cfRule type="cellIs" dxfId="710" priority="254" stopIfTrue="1" operator="equal">
      <formula>"Falla"</formula>
    </cfRule>
    <cfRule type="cellIs" dxfId="709" priority="253" stopIfTrue="1" operator="equal">
      <formula>"Pasa"</formula>
    </cfRule>
    <cfRule type="expression" dxfId="708" priority="252" stopIfTrue="1">
      <formula>ISBLANK(D627)</formula>
    </cfRule>
    <cfRule type="cellIs" dxfId="707" priority="251" stopIfTrue="1" operator="equal">
      <formula>"-"</formula>
    </cfRule>
    <cfRule type="cellIs" dxfId="706" priority="255" stopIfTrue="1" operator="equal">
      <formula>"N/A"</formula>
    </cfRule>
    <cfRule type="cellIs" dxfId="705" priority="256" stopIfTrue="1" operator="equal">
      <formula>"N/T"</formula>
    </cfRule>
    <cfRule type="cellIs" dxfId="704" priority="257" stopIfTrue="1" operator="equal">
      <formula>"N/D"</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39" stopIfTrue="1" operator="equal">
      <formula>"Pasa"</formula>
    </cfRule>
    <cfRule type="expression" dxfId="694" priority="238" stopIfTrue="1">
      <formula>ISBLANK(D703)</formula>
    </cfRule>
    <cfRule type="cellIs" dxfId="693" priority="237" stopIfTrue="1" operator="equal">
      <formula>"-"</formula>
    </cfRule>
    <cfRule type="cellIs" dxfId="692" priority="241" stopIfTrue="1" operator="equal">
      <formula>"N/A"</formula>
    </cfRule>
    <cfRule type="cellIs" dxfId="691" priority="243" stopIfTrue="1" operator="equal">
      <formula>"N/D"</formula>
    </cfRule>
    <cfRule type="cellIs" dxfId="690" priority="242" stopIfTrue="1" operator="equal">
      <formula>"N/T"</formula>
    </cfRule>
  </conditionalFormatting>
  <conditionalFormatting sqref="D741:D775">
    <cfRule type="cellIs" dxfId="689" priority="236" stopIfTrue="1" operator="equal">
      <formula>"N/D"</formula>
    </cfRule>
    <cfRule type="cellIs" dxfId="688" priority="233" stopIfTrue="1" operator="equal">
      <formula>"Falla"</formula>
    </cfRule>
    <cfRule type="expression" dxfId="687" priority="231" stopIfTrue="1">
      <formula>ISBLANK(D741)</formula>
    </cfRule>
    <cfRule type="cellIs" dxfId="686" priority="230" stopIfTrue="1" operator="equal">
      <formula>"-"</formula>
    </cfRule>
    <cfRule type="cellIs" dxfId="685" priority="235" stopIfTrue="1" operator="equal">
      <formula>"N/T"</formula>
    </cfRule>
    <cfRule type="cellIs" dxfId="684" priority="234" stopIfTrue="1" operator="equal">
      <formula>"N/A"</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200" stopIfTrue="1" operator="equal">
      <formula>"N/T"</formula>
    </cfRule>
    <cfRule type="cellIs" dxfId="650" priority="199" stopIfTrue="1" operator="equal">
      <formula>"N/A"</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5" stopIfTrue="1" operator="equal">
      <formula>"N/A"</formula>
    </cfRule>
    <cfRule type="cellIs" dxfId="637" priority="187" stopIfTrue="1" operator="equal">
      <formula>"N/D"</formula>
    </cfRule>
    <cfRule type="cellIs" dxfId="636" priority="186" stopIfTrue="1" operator="equal">
      <formula>"N/T"</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78" stopIfTrue="1" operator="equal">
      <formula>"N/A"</formula>
    </cfRule>
    <cfRule type="cellIs" dxfId="632" priority="176" stopIfTrue="1" operator="equal">
      <formula>"Pasa"</formula>
    </cfRule>
    <cfRule type="expression" dxfId="631" priority="175" stopIfTrue="1">
      <formula>ISBLANK(D1045)</formula>
    </cfRule>
    <cfRule type="cellIs" dxfId="630" priority="174" stopIfTrue="1" operator="equal">
      <formula>"-"</formula>
    </cfRule>
    <cfRule type="cellIs" dxfId="629" priority="180" stopIfTrue="1" operator="equal">
      <formula>"N/D"</formula>
    </cfRule>
    <cfRule type="cellIs" dxfId="628" priority="179" stopIfTrue="1" operator="equal">
      <formula>"N/T"</formula>
    </cfRule>
    <cfRule type="cellIs" dxfId="627" priority="177" stopIfTrue="1" operator="equal">
      <formula>"Falla"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0" stopIfTrue="1" operator="equal">
      <formula>"-"</formula>
    </cfRule>
    <cfRule type="cellIs" dxfId="618" priority="163" stopIfTrue="1" operator="equal">
      <formula>"Falla"</formula>
    </cfRule>
    <cfRule type="expression" dxfId="617" priority="161" stopIfTrue="1">
      <formula>ISBLANK(D1121)</formula>
    </cfRule>
    <cfRule type="cellIs" dxfId="616" priority="164" stopIfTrue="1" operator="equal">
      <formula>"N/A"</formula>
    </cfRule>
    <cfRule type="cellIs" dxfId="615" priority="165" stopIfTrue="1" operator="equal">
      <formula>"N/T"</formula>
    </cfRule>
    <cfRule type="cellIs" dxfId="614" priority="166" stopIfTrue="1" operator="equal">
      <formula>"N/D"</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5" stopIfTrue="1" operator="equal">
      <formula>"N/D"</formula>
    </cfRule>
    <cfRule type="cellIs" dxfId="597" priority="142" stopIfTrue="1" operator="equal">
      <formula>"Falla"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4" stopIfTrue="1" operator="equal">
      <formula>"N/T"</formula>
    </cfRule>
    <cfRule type="cellIs" dxfId="592" priority="143" stopIfTrue="1" operator="equal">
      <formula>"N/A"</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6" stopIfTrue="1" operator="equal">
      <formula>"Pasa"</formula>
    </cfRule>
    <cfRule type="expression" dxfId="561" priority="105" stopIfTrue="1">
      <formula>ISBLANK(D1425)</formula>
    </cfRule>
    <cfRule type="cellIs" dxfId="560" priority="107" stopIfTrue="1" operator="equal">
      <formula>"Falla"</formula>
    </cfRule>
    <cfRule type="cellIs" dxfId="559" priority="108" stopIfTrue="1" operator="equal">
      <formula>"N/A"</formula>
    </cfRule>
    <cfRule type="cellIs" dxfId="558" priority="109" stopIfTrue="1" operator="equal">
      <formula>"N/T"</formula>
    </cfRule>
    <cfRule type="cellIs" dxfId="557" priority="104" stopIfTrue="1" operator="equal">
      <formula>"-"</formula>
    </cfRule>
  </conditionalFormatting>
  <conditionalFormatting sqref="D1463:D1497">
    <cfRule type="cellIs" dxfId="556" priority="103" stopIfTrue="1" operator="equal">
      <formula>"N/D"</formula>
    </cfRule>
    <cfRule type="cellIs" dxfId="555" priority="100" stopIfTrue="1" operator="equal">
      <formula>"Falla"</formula>
    </cfRule>
    <cfRule type="expression" dxfId="554" priority="98" stopIfTrue="1">
      <formula>ISBLANK(D1463)</formula>
    </cfRule>
    <cfRule type="cellIs" dxfId="553" priority="97" stopIfTrue="1" operator="equal">
      <formula>"-"</formula>
    </cfRule>
    <cfRule type="cellIs" dxfId="552" priority="102" stopIfTrue="1" operator="equal">
      <formula>"N/T"</formula>
    </cfRule>
    <cfRule type="cellIs" dxfId="551" priority="101" stopIfTrue="1" operator="equal">
      <formula>"N/A"</formula>
    </cfRule>
    <cfRule type="cellIs" dxfId="550" priority="99" stopIfTrue="1" operator="equal">
      <formula>"Pasa"</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expression" dxfId="456" priority="15" stopIfTrue="1">
      <formula>ISBLANK(K23)</formula>
    </cfRule>
    <cfRule type="cellIs" dxfId="455" priority="16" stopIfTrue="1" operator="equal">
      <formula>"Pasa"</formula>
    </cfRule>
    <cfRule type="cellIs" dxfId="454" priority="17" stopIfTrue="1" operator="equal">
      <formula>"Falla"</formula>
    </cfRule>
    <cfRule type="cellIs" dxfId="453" priority="18" stopIfTrue="1" operator="equal">
      <formula>"N/A"</formula>
    </cfRule>
    <cfRule type="cellIs" dxfId="452" priority="19" stopIfTrue="1" operator="equal">
      <formula>"N/T"</formula>
    </cfRule>
    <cfRule type="cellIs" dxfId="451" priority="20"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453125" defaultRowHeight="12.5"/>
  <cols>
    <col min="1" max="1" width="7.81640625" style="14" customWidth="1"/>
    <col min="2" max="2" width="16.1796875" style="14" customWidth="1"/>
    <col min="3" max="3" width="56" style="14" customWidth="1"/>
    <col min="4" max="4" width="18.36328125" style="84" customWidth="1"/>
    <col min="5" max="5" width="5.453125" style="84" customWidth="1"/>
    <col min="6" max="6" width="16.453125" style="14" bestFit="1" customWidth="1"/>
    <col min="7" max="7" width="14.6328125" style="14" customWidth="1"/>
    <col min="8" max="8" width="12.453125" style="14" customWidth="1"/>
    <col min="9" max="9" width="11.6328125" style="14" customWidth="1"/>
    <col min="10" max="10" width="17.36328125" style="14" bestFit="1" customWidth="1"/>
    <col min="11" max="11" width="14.453125" style="14" customWidth="1"/>
    <col min="12" max="12" width="12.453125" style="14" customWidth="1"/>
    <col min="13" max="13" width="19.81640625" style="14" customWidth="1"/>
    <col min="14" max="15" width="12.453125" style="14" customWidth="1"/>
    <col min="16" max="16" width="19.453125" style="14" customWidth="1"/>
    <col min="17" max="17" width="6.81640625" style="14" customWidth="1"/>
    <col min="18" max="18" width="4.6328125" style="14" customWidth="1"/>
    <col min="19" max="19" width="12.81640625" style="14" customWidth="1"/>
    <col min="20" max="20" width="12.1796875" style="14" customWidth="1"/>
    <col min="21" max="21" width="6.6328125" style="14" customWidth="1"/>
    <col min="22" max="22" width="5.453125" style="14" customWidth="1"/>
    <col min="23" max="23" width="12" style="14" customWidth="1"/>
    <col min="24" max="24" width="11.81640625" style="14" customWidth="1"/>
    <col min="25" max="25" width="7.36328125" style="14" customWidth="1"/>
    <col min="26" max="64" width="14.453125" style="14" customWidth="1"/>
    <col min="65" max="16384" width="11.45312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5" customHeight="1">
      <c r="B7" s="18"/>
      <c r="C7" s="18"/>
      <c r="D7" s="18"/>
      <c r="E7" s="79"/>
      <c r="F7" s="18"/>
      <c r="G7" s="18"/>
      <c r="H7" s="18"/>
      <c r="I7" s="18"/>
      <c r="J7" s="18"/>
      <c r="K7" s="18"/>
      <c r="L7" s="18"/>
      <c r="M7" s="18"/>
      <c r="N7" s="18"/>
      <c r="O7" s="18"/>
    </row>
    <row r="8" spans="1:64" ht="1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4.5">
      <c r="B1613" s="18"/>
      <c r="C1613" s="18"/>
      <c r="D1613" s="79"/>
      <c r="E1613" s="83"/>
      <c r="K1613" s="184"/>
      <c r="L1613" s="18"/>
    </row>
    <row r="1614" spans="1:12" ht="31">
      <c r="A1614" s="173" t="s">
        <v>99</v>
      </c>
      <c r="B1614" s="23" t="s">
        <v>91</v>
      </c>
      <c r="C1614" s="24" t="s">
        <v>236</v>
      </c>
      <c r="D1614" s="25" t="s">
        <v>101</v>
      </c>
      <c r="E1614" s="93"/>
      <c r="K1614" s="184"/>
      <c r="L1614" s="18"/>
    </row>
    <row r="1615" spans="1:12" ht="14.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4.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4.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4.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4.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4.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4.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4.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4.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4.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4.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4.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4.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4.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4.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4.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4.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4.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4.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4.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4.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4.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4.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4.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4.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4.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4.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4.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4.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4.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4.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4.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4.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4.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4.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4.5">
      <c r="B1650" s="18"/>
      <c r="C1650" s="18"/>
      <c r="D1650" s="79"/>
      <c r="E1650" s="18"/>
      <c r="F1650" s="18"/>
      <c r="G1650" s="18"/>
      <c r="H1650" s="18"/>
      <c r="I1650" s="18"/>
      <c r="J1650" s="18"/>
      <c r="K1650" s="184"/>
    </row>
    <row r="1651" spans="1:11" ht="14.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4.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4.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4.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4.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4.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4.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4.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4.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4.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4.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4.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4.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4.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4.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4.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4.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4.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4.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4.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4.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4.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4.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4.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4.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4.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4.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4.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4.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4.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4.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4.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4.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4.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4.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4.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4.5">
      <c r="B1688" s="18"/>
      <c r="C1688" s="18"/>
      <c r="D1688" s="79"/>
      <c r="E1688" s="18"/>
      <c r="F1688" s="18"/>
      <c r="G1688" s="18"/>
      <c r="H1688" s="18"/>
      <c r="I1688" s="18"/>
      <c r="J1688" s="18"/>
      <c r="K1688" s="184"/>
    </row>
    <row r="1689" spans="1:11" ht="14.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4.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4.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4.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4.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4.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4.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4.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4.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4.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4.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4.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4.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4.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4.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4.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4.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4.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4.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4.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4.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4.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4.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4.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4.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4.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4.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4.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4.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4.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4.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4.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4.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4.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4.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4.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4" stopIfTrue="1" operator="equal">
      <formula>"N/T"</formula>
    </cfRule>
    <cfRule type="cellIs" dxfId="448" priority="353" stopIfTrue="1" operator="equal">
      <formula>"N/A"</formula>
    </cfRule>
    <cfRule type="cellIs" dxfId="447" priority="352" stopIfTrue="1" operator="equal">
      <formula>"Falla"</formula>
    </cfRule>
    <cfRule type="cellIs" dxfId="446" priority="351" stopIfTrue="1" operator="equal">
      <formula>"Pasa"</formula>
    </cfRule>
    <cfRule type="expression" dxfId="445" priority="350" stopIfTrue="1">
      <formula>ISBLANK(D19)</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8" stopIfTrue="1" operator="equal">
      <formula>"N/A"</formula>
    </cfRule>
    <cfRule type="cellIs" dxfId="419" priority="317" stopIfTrue="1" operator="equal">
      <formula>"Falla"</formula>
    </cfRule>
    <cfRule type="cellIs" dxfId="418" priority="316" stopIfTrue="1" operator="equal">
      <formula>"Pasa"</formula>
    </cfRule>
    <cfRule type="expression" dxfId="417" priority="315" stopIfTrue="1">
      <formula>ISBLANK(D171)</formula>
    </cfRule>
    <cfRule type="cellIs" dxfId="416" priority="314" stopIfTrue="1" operator="equal">
      <formul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9" stopIfTrue="1" operator="equal">
      <formula>"N/D"</formula>
    </cfRule>
    <cfRule type="cellIs" dxfId="400" priority="298" stopIfTrue="1" operator="equal">
      <formula>"N/T"</formula>
    </cfRule>
    <cfRule type="cellIs" dxfId="399" priority="297" stopIfTrue="1" operator="equal">
      <formula>"N/A"</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92" stopIfTrue="1" operator="equal">
      <formula>"N/D"</formula>
    </cfRule>
    <cfRule type="cellIs" dxfId="393" priority="291" stopIfTrue="1" operator="equal">
      <formula>"N/T"</formula>
    </cfRule>
    <cfRule type="cellIs" dxfId="392" priority="290" stopIfTrue="1" operator="equal">
      <formula>"N/A"</formula>
    </cfRule>
    <cfRule type="cellIs" dxfId="391" priority="289" stopIfTrue="1" operator="equal">
      <formula>"Falla"</formula>
    </cfRule>
    <cfRule type="cellIs" dxfId="390" priority="288" stopIfTrue="1" operator="equal">
      <formula>"Pasa"</formula>
    </cfRule>
    <cfRule type="expression" dxfId="389" priority="287" stopIfTrue="1">
      <formula>ISBLANK(D323)</formula>
    </cfRule>
    <cfRule type="cellIs" dxfId="388" priority="286" stopIfTrue="1" operator="equal">
      <formula>"-"</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3" stopIfTrue="1" operator="equal">
      <formula>"N/A"</formula>
    </cfRule>
    <cfRule type="cellIs" dxfId="384" priority="282" stopIfTrue="1" operator="equal">
      <formula>"Falla"</formula>
    </cfRule>
    <cfRule type="cellIs" dxfId="383" priority="281" stopIfTrue="1" operator="equal">
      <formula>"Pasa"</formula>
    </cfRule>
    <cfRule type="expression" dxfId="382" priority="280" stopIfTrue="1">
      <formula>ISBLANK(D361)</formula>
    </cfRule>
    <cfRule type="cellIs" dxfId="381" priority="279" stopIfTrue="1" operator="equal">
      <formul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5" stopIfTrue="1" operator="equal">
      <formula>"N/T"</formula>
    </cfRule>
    <cfRule type="cellIs" dxfId="336" priority="234" stopIfTrue="1" operator="equal">
      <formula>"N/A"</formula>
    </cfRule>
    <cfRule type="cellIs" dxfId="335" priority="233" stopIfTrue="1" operator="equal">
      <formula>"Falla"</formula>
    </cfRule>
    <cfRule type="cellIs" dxfId="334" priority="232" stopIfTrue="1" operator="equal">
      <formula>"Pasa"</formula>
    </cfRule>
    <cfRule type="expression" dxfId="333" priority="231" stopIfTrue="1">
      <formula>ISBLANK(D627)</formula>
    </cfRule>
    <cfRule type="cellIs" dxfId="332" priority="230" stopIfTrue="1" operator="equal">
      <formula>"-"</formula>
    </cfRule>
  </conditionalFormatting>
  <conditionalFormatting sqref="D665:D699">
    <cfRule type="cellIs" dxfId="331" priority="229" stopIfTrue="1" operator="equal">
      <formula>"N/D"</formula>
    </cfRule>
    <cfRule type="cellIs" dxfId="330" priority="228" stopIfTrue="1" operator="equal">
      <formula>"N/T"</formula>
    </cfRule>
    <cfRule type="cellIs" dxfId="329" priority="227" stopIfTrue="1" operator="equal">
      <formula>"N/A"</formula>
    </cfRule>
    <cfRule type="cellIs" dxfId="328" priority="226" stopIfTrue="1" operator="equal">
      <formula>"Falla"</formula>
    </cfRule>
    <cfRule type="cellIs" dxfId="327" priority="225" stopIfTrue="1" operator="equal">
      <formula>"Pasa"</formula>
    </cfRule>
    <cfRule type="expression" dxfId="326" priority="224" stopIfTrue="1">
      <formula>ISBLANK(D665)</formula>
    </cfRule>
    <cfRule type="cellIs" dxfId="325" priority="223" stopIfTrue="1" operator="equal">
      <formu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3" stopIfTrue="1" operator="equal">
      <formula>"N/T"</formula>
    </cfRule>
    <cfRule type="cellIs" dxfId="295" priority="188" stopIfTrue="1" operator="equal">
      <formula>"-"</formula>
    </cfRule>
    <cfRule type="cellIs" dxfId="294" priority="194" stopIfTrue="1" operator="equal">
      <formula>"N/D"</formula>
    </cfRule>
    <cfRule type="expression" dxfId="293" priority="189" stopIfTrue="1">
      <formula>ISBLANK(D855)</formula>
    </cfRule>
    <cfRule type="cellIs" dxfId="292" priority="192" stopIfTrue="1" operator="equal">
      <formula>"N/A"</formula>
    </cfRule>
    <cfRule type="cellIs" dxfId="291" priority="191" stopIfTrue="1" operator="equal">
      <formula>"Falla"</formula>
    </cfRule>
    <cfRule type="cellIs" dxfId="290" priority="190" stopIfTrue="1" operator="equal">
      <formula>"Pasa"</formula>
    </cfRule>
  </conditionalFormatting>
  <conditionalFormatting sqref="D893:D927">
    <cfRule type="cellIs" dxfId="289" priority="184" stopIfTrue="1" operator="equal">
      <formula>"Falla"</formula>
    </cfRule>
    <cfRule type="cellIs" dxfId="288" priority="183" stopIfTrue="1" operator="equal">
      <formula>"Pasa"</formula>
    </cfRule>
    <cfRule type="cellIs" dxfId="287" priority="181" stopIfTrue="1" operator="equal">
      <formula>"-"</formula>
    </cfRule>
    <cfRule type="cellIs" dxfId="286" priority="186" stopIfTrue="1" operator="equal">
      <formula>"N/T"</formula>
    </cfRule>
    <cfRule type="cellIs" dxfId="285" priority="185" stopIfTrue="1" operator="equal">
      <formula>"N/A"</formula>
    </cfRule>
    <cfRule type="expression" dxfId="284" priority="182" stopIfTrue="1">
      <formula>ISBLANK(D893)</formula>
    </cfRule>
    <cfRule type="cellIs" dxfId="283" priority="187" stopIfTrue="1" operator="equal">
      <formula>"N/D"</formula>
    </cfRule>
  </conditionalFormatting>
  <conditionalFormatting sqref="D931:D965">
    <cfRule type="cellIs" dxfId="282" priority="179" stopIfTrue="1" operator="equal">
      <formula>"N/T"</formula>
    </cfRule>
    <cfRule type="cellIs" dxfId="281" priority="178" stopIfTrue="1" operator="equal">
      <formula>"N/A"</formula>
    </cfRule>
    <cfRule type="cellIs" dxfId="280" priority="177" stopIfTrue="1" operator="equal">
      <formula>"Falla"</formula>
    </cfRule>
    <cfRule type="cellIs" dxfId="279" priority="176" stopIfTrue="1" operator="equal">
      <formula>"Pasa"</formula>
    </cfRule>
    <cfRule type="expression" dxfId="278" priority="175" stopIfTrue="1">
      <formula>ISBLANK(D931)</formula>
    </cfRule>
    <cfRule type="cellIs" dxfId="277" priority="174" stopIfTrue="1" operator="equal">
      <formula>"-"</formula>
    </cfRule>
    <cfRule type="cellIs" dxfId="276" priority="180" stopIfTrue="1" operator="equal">
      <formula>"N/D"</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3" stopIfTrue="1" operator="equal">
      <formula>"Falla"</formula>
    </cfRule>
    <cfRule type="cellIs" dxfId="267" priority="165" stopIfTrue="1" operator="equal">
      <formula>"N/T"</formula>
    </cfRule>
    <cfRule type="cellIs" dxfId="266" priority="164" stopIfTrue="1" operator="equal">
      <formula>"N/A"</formula>
    </cfRule>
    <cfRule type="cellIs" dxfId="265" priority="166" stopIfTrue="1" operator="equal">
      <formula>"N/D"</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8" stopIfTrue="1" operator="equal">
      <formula>"N/D"</formula>
    </cfRule>
    <cfRule type="cellIs" dxfId="239" priority="137" stopIfTrue="1" operator="equal">
      <formula>"N/T"</formula>
    </cfRule>
    <cfRule type="cellIs" dxfId="238" priority="136" stopIfTrue="1" operator="equal">
      <formula>"N/A"</formula>
    </cfRule>
    <cfRule type="cellIs" dxfId="237" priority="135" stopIfTrue="1" operator="equal">
      <formula>"Falla"</formula>
    </cfRule>
    <cfRule type="cellIs" dxfId="236" priority="134" stopIfTrue="1" operator="equal">
      <formula>"Pasa"</formula>
    </cfRule>
    <cfRule type="expression" dxfId="235" priority="133" stopIfTrue="1">
      <formula>ISBLANK(D1159)</formula>
    </cfRule>
    <cfRule type="cellIs" dxfId="234" priority="132" stopIfTrue="1" operator="equal">
      <formula>"-"</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6" stopIfTrue="1" operator="equal">
      <formula>"Pasa"</formula>
    </cfRule>
    <cfRule type="cellIs" dxfId="211" priority="110" stopIfTrue="1" operator="equal">
      <formula>"N/D"</formula>
    </cfRule>
    <cfRule type="cellIs" dxfId="210" priority="108" stopIfTrue="1" operator="equal">
      <formula>"N/A"</formula>
    </cfRule>
    <cfRule type="cellIs" dxfId="209" priority="107" stopIfTrue="1" operator="equal">
      <formula>"Falla"</formula>
    </cfRule>
    <cfRule type="cellIs" dxfId="208" priority="109" stopIfTrue="1" operator="equal">
      <formula>"N/T"</formula>
    </cfRule>
    <cfRule type="expression" dxfId="207" priority="105" stopIfTrue="1">
      <formula>ISBLANK(D1311)</formula>
    </cfRule>
    <cfRule type="cellIs" dxfId="206" priority="104" stopIfTrue="1" operator="equal">
      <formula>"-"</formula>
    </cfRule>
  </conditionalFormatting>
  <conditionalFormatting sqref="D1349:D1383">
    <cfRule type="cellIs" dxfId="205" priority="103" stopIfTrue="1" operator="equal">
      <formula>"N/D"</formula>
    </cfRule>
    <cfRule type="cellIs" dxfId="204" priority="102" stopIfTrue="1" operator="equal">
      <formula>"N/T"</formula>
    </cfRule>
    <cfRule type="cellIs" dxfId="203" priority="101" stopIfTrue="1" operator="equal">
      <formula>"N/A"</formula>
    </cfRule>
    <cfRule type="cellIs" dxfId="202" priority="100" stopIfTrue="1" operator="equal">
      <formula>"Falla"</formula>
    </cfRule>
    <cfRule type="cellIs" dxfId="201" priority="99" stopIfTrue="1" operator="equal">
      <formula>"Pasa"</formula>
    </cfRule>
    <cfRule type="expression" dxfId="200" priority="98" stopIfTrue="1">
      <formula>ISBLANK(D1349)</formula>
    </cfRule>
    <cfRule type="cellIs" dxfId="199" priority="97" stopIfTrue="1" operator="equal">
      <formul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9" stopIfTrue="1" operator="equal">
      <formula>"N/D"</formula>
    </cfRule>
    <cfRule type="cellIs" dxfId="190" priority="88" stopIfTrue="1" operator="equal">
      <formula>"N/T"</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8" stopIfTrue="1" operator="equal">
      <formula>"N/D"</formula>
    </cfRule>
    <cfRule type="cellIs" dxfId="169" priority="67" stopIfTrue="1" operator="equal">
      <formula>"N/T"</formula>
    </cfRule>
    <cfRule type="cellIs" dxfId="168" priority="66" stopIfTrue="1" operator="equal">
      <formula>"N/A"</formula>
    </cfRule>
    <cfRule type="cellIs" dxfId="167" priority="65" stopIfTrue="1" operator="equal">
      <formula>"Falla"</formula>
    </cfRule>
    <cfRule type="cellIs" dxfId="166" priority="64" stopIfTrue="1" operator="equal">
      <formula>"Pasa"</formula>
    </cfRule>
    <cfRule type="expression" dxfId="165" priority="63" stopIfTrue="1">
      <formula>ISBLANK(D1539)</formula>
    </cfRule>
    <cfRule type="cellIs" dxfId="164" priority="62" stopIfTrue="1" operator="equal">
      <formula>"-"</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7" stopIfTrue="1" operator="equal">
      <formula>"N/D"</formula>
    </cfRule>
    <cfRule type="cellIs" dxfId="148" priority="46" stopIfTrue="1" operator="equal">
      <formula>"N/T"</formula>
    </cfRule>
    <cfRule type="cellIs" dxfId="147" priority="45" stopIfTrue="1" operator="equal">
      <formula>"N/A"</formula>
    </cfRule>
    <cfRule type="cellIs" dxfId="146" priority="44" stopIfTrue="1" operator="equal">
      <formula>"Falla"</formula>
    </cfRule>
    <cfRule type="cellIs" dxfId="145" priority="43" stopIfTrue="1" operator="equal">
      <formula>"Pasa"</formula>
    </cfRule>
    <cfRule type="expression" dxfId="144" priority="42" stopIfTrue="1">
      <formula>ISBLANK(D1653)</formula>
    </cfRule>
    <cfRule type="cellIs" dxfId="143" priority="41" stopIfTrue="1" operator="equal">
      <formula>"-"</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FF70696-9632-4034-9007-B84685F188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RASERO LOPEZ, MACARENA</cp:lastModifiedBy>
  <cp:revision>109</cp:revision>
  <dcterms:created xsi:type="dcterms:W3CDTF">2020-03-26T13:14:48Z</dcterms:created>
  <dcterms:modified xsi:type="dcterms:W3CDTF">2026-06-25T05:56:00Z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