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https://atos365-my.sharepoint.com/personal/oscar_hernangomezgarcia_atos_net/Documents/Documentos_13062022/Madrid Digital/TACP/"/>
    </mc:Choice>
  </mc:AlternateContent>
  <xr:revisionPtr revIDLastSave="381" documentId="13_ncr:1_{A1AB7113-7B47-4908-A59F-BE5428BF1614}" xr6:coauthVersionLast="47" xr6:coauthVersionMax="47" xr10:uidLastSave="{A3DA368C-460C-4906-A589-D531446708E2}"/>
  <bookViews>
    <workbookView xWindow="-108" yWindow="-108" windowWidth="23256" windowHeight="12576" tabRatio="808" firstSheet="3" activeTab="3"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E1897" i="22"/>
  <c r="E1895" i="22"/>
  <c r="E1893" i="22"/>
  <c r="E1891" i="22"/>
  <c r="E1889" i="22"/>
  <c r="E1887" i="22"/>
  <c r="E1885" i="22"/>
  <c r="E1884" i="22"/>
  <c r="E1883" i="22"/>
  <c r="E1882" i="22"/>
  <c r="E1888" i="22" l="1"/>
  <c r="E1892" i="22"/>
  <c r="E1896" i="22"/>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K1882" i="22"/>
  <c r="CG20" i="9" a="1"/>
  <c r="D188" i="14" l="1"/>
  <c r="D157" i="14"/>
  <c r="CG20" i="9"/>
  <c r="DC3" i="19" s="1"/>
  <c r="D304" i="15"/>
  <c r="D139" i="21"/>
  <c r="D1165" i="21"/>
  <c r="D238" i="5"/>
  <c r="D1253" i="22"/>
  <c r="D228" i="5"/>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80" i="21"/>
  <c r="D1725" i="21"/>
  <c r="D39" i="5"/>
  <c r="D44" i="5"/>
  <c r="D85" i="5"/>
  <c r="D120" i="5"/>
  <c r="D456" i="14"/>
  <c r="D83" i="13"/>
  <c r="D91" i="13"/>
  <c r="D121" i="13"/>
  <c r="D125" i="13"/>
  <c r="D167"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24" i="15"/>
  <c r="D125" i="15"/>
  <c r="D126" i="15"/>
  <c r="D127" i="15"/>
  <c r="D154" i="15"/>
  <c r="D159" i="15"/>
  <c r="D160" i="15"/>
  <c r="D167" i="15"/>
  <c r="D189" i="15"/>
  <c r="D199" i="15"/>
  <c r="D230" i="15"/>
  <c r="D241" i="15"/>
  <c r="D242" i="15"/>
  <c r="D243" i="15"/>
  <c r="D266" i="15"/>
  <c r="D268" i="15"/>
  <c r="D271" i="15"/>
  <c r="D350" i="15"/>
  <c r="D91" i="22"/>
  <c r="D83" i="22"/>
  <c r="D121" i="22"/>
  <c r="D155" i="22"/>
  <c r="D239" i="22"/>
  <c r="D231" i="22"/>
  <c r="D393" i="22"/>
  <c r="D385" i="22"/>
  <c r="D428" i="22"/>
  <c r="D420" i="22"/>
  <c r="D456" i="22"/>
  <c r="D733" i="22"/>
  <c r="D725" i="22"/>
  <c r="D44" i="13"/>
  <c r="D52" i="13"/>
  <c r="D79" i="13"/>
  <c r="D87" i="13"/>
  <c r="D114" i="13"/>
  <c r="D124" i="13"/>
  <c r="D127" i="13"/>
  <c r="D128" i="13"/>
  <c r="D129" i="13"/>
  <c r="D88" i="15"/>
  <c r="D115" i="15"/>
  <c r="D120" i="15"/>
  <c r="D166" i="15"/>
  <c r="D193"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11" i="21"/>
  <c r="D1015" i="21"/>
  <c r="D1019" i="21"/>
  <c r="D1023" i="21"/>
  <c r="D1027" i="21"/>
  <c r="D1031" i="21"/>
  <c r="D1035" i="21"/>
  <c r="D1039" i="21"/>
  <c r="D1054" i="21"/>
  <c r="D1055" i="21"/>
  <c r="D1130" i="21"/>
  <c r="D1135" i="21"/>
  <c r="D1168" i="21"/>
  <c r="D1172"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8"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65" i="15"/>
  <c r="D191" i="15"/>
  <c r="D194"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46" i="14"/>
  <c r="D691" i="14"/>
  <c r="D683" i="14"/>
  <c r="D50" i="22"/>
  <c r="D42" i="22"/>
  <c r="D41" i="13"/>
  <c r="D45" i="13"/>
  <c r="D49" i="13"/>
  <c r="D53" i="13"/>
  <c r="D76" i="13"/>
  <c r="D80" i="13"/>
  <c r="D84" i="13"/>
  <c r="D88" i="13"/>
  <c r="D502" i="14"/>
  <c r="D494" i="14"/>
  <c r="D576" i="14"/>
  <c r="D571" i="14"/>
  <c r="D619" i="14"/>
  <c r="D611" i="14"/>
  <c r="D733" i="14"/>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7" i="13"/>
  <c r="D81" i="13"/>
  <c r="D85" i="13"/>
  <c r="D89" i="13"/>
  <c r="D117" i="13"/>
  <c r="D53" i="14"/>
  <c r="D45" i="14"/>
  <c r="D37" i="14"/>
  <c r="D128" i="14"/>
  <c r="D120" i="14"/>
  <c r="D112" i="14"/>
  <c r="D161" i="14"/>
  <c r="D155" i="14"/>
  <c r="D200" i="14"/>
  <c r="D199" i="14"/>
  <c r="D192" i="14"/>
  <c r="D191" i="14"/>
  <c r="D236" i="14"/>
  <c r="D388" i="14"/>
  <c r="D427" i="14"/>
  <c r="D419" i="14"/>
  <c r="D542" i="14"/>
  <c r="D541" i="14"/>
  <c r="D583" i="14"/>
  <c r="D572"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238" i="22"/>
  <c r="D230" i="22"/>
  <c r="D357" i="22"/>
  <c r="D349" i="22"/>
  <c r="D341" i="22"/>
  <c r="D459" i="22"/>
  <c r="D496" i="22"/>
  <c r="D88" i="22"/>
  <c r="D80" i="22"/>
  <c r="D126" i="22"/>
  <c r="D316" i="22"/>
  <c r="D308" i="22"/>
  <c r="D460" i="22"/>
  <c r="D726" i="22"/>
  <c r="D765" i="22"/>
  <c r="D884" i="22"/>
  <c r="D925" i="22"/>
  <c r="D53" i="22"/>
  <c r="D45" i="22"/>
  <c r="D120" i="22"/>
  <c r="D199" i="22"/>
  <c r="D191" i="22"/>
  <c r="D241" i="22"/>
  <c r="D233" i="22"/>
  <c r="D353" i="22"/>
  <c r="D345" i="22"/>
  <c r="D465" i="22"/>
  <c r="D455" i="22"/>
  <c r="D621" i="22"/>
  <c r="D613" i="22"/>
  <c r="D768" i="22"/>
  <c r="D1339" i="22"/>
  <c r="D1483" i="22"/>
  <c r="D1566" i="22"/>
  <c r="D1558" i="22"/>
  <c r="D1687" i="22"/>
  <c r="D1672" i="22"/>
  <c r="D1758" i="22"/>
  <c r="D1798" i="22"/>
  <c r="D1875" i="22"/>
  <c r="D26" i="21"/>
  <c r="D27" i="21"/>
  <c r="D33" i="21"/>
  <c r="D40" i="21"/>
  <c r="D43" i="21"/>
  <c r="D45" i="21"/>
  <c r="D58" i="21"/>
  <c r="D956" i="22"/>
  <c r="D955" i="22"/>
  <c r="D997"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149" i="22"/>
  <c r="D1141" i="22"/>
  <c r="D1187" i="22"/>
  <c r="D1179" i="22"/>
  <c r="D1261" i="22"/>
  <c r="D1342" i="22"/>
  <c r="D1335" i="22"/>
  <c r="D1328" i="22"/>
  <c r="D1419" i="22"/>
  <c r="D1416" i="22"/>
  <c r="D1405" i="22"/>
  <c r="D1570" i="22"/>
  <c r="D1562" i="22"/>
  <c r="D1647" i="22"/>
  <c r="D1639" i="22"/>
  <c r="D1682" i="22"/>
  <c r="D1787" i="22"/>
  <c r="D1867" i="22"/>
  <c r="D24" i="21"/>
  <c r="D38" i="21"/>
  <c r="D50" i="21"/>
  <c r="D242" i="21"/>
  <c r="D1000" i="22"/>
  <c r="D1117" i="22"/>
  <c r="D1150" i="22"/>
  <c r="D1257" i="22"/>
  <c r="D1303" i="22"/>
  <c r="D1407" i="22"/>
  <c r="D1406"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6" i="21"/>
  <c r="D1322" i="21"/>
  <c r="D1332" i="21"/>
  <c r="D1338" i="21"/>
  <c r="D1345" i="21"/>
  <c r="D1352" i="21"/>
  <c r="D1355" i="21"/>
  <c r="D1363"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89" i="5"/>
  <c r="D190" i="5"/>
  <c r="D197" i="5"/>
  <c r="D1496" i="21"/>
  <c r="D1526" i="21"/>
  <c r="D1540" i="21"/>
  <c r="D114" i="5"/>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50" i="5"/>
  <c r="D156" i="5"/>
  <c r="D157" i="5"/>
  <c r="D160" i="5"/>
  <c r="D164" i="5"/>
  <c r="D193" i="5"/>
  <c r="D194" i="5"/>
  <c r="D84" i="18"/>
  <c r="D1510" i="21"/>
  <c r="D1518" i="21"/>
  <c r="D1534" i="21"/>
  <c r="D1544" i="21"/>
  <c r="D1548" i="21"/>
  <c r="D1676" i="21"/>
  <c r="D1677" i="21"/>
  <c r="D1701" i="21"/>
  <c r="D84" i="5"/>
  <c r="D53" i="18"/>
  <c r="D88" i="18"/>
  <c r="D119" i="18"/>
  <c r="D199" i="5"/>
  <c r="D200" i="5"/>
  <c r="D229" i="5"/>
  <c r="D233" i="5"/>
  <c r="D237" i="5"/>
  <c r="D241" i="5"/>
  <c r="D44" i="18"/>
  <c r="D50" i="18"/>
  <c r="D79" i="18"/>
  <c r="D85" i="18"/>
  <c r="D154" i="18"/>
  <c r="D162" i="18"/>
  <c r="D189" i="18"/>
  <c r="D193" i="18"/>
  <c r="D45" i="18"/>
  <c r="D205" i="18"/>
  <c r="D203" i="5"/>
  <c r="D204" i="5"/>
  <c r="D36" i="18"/>
  <c r="D39" i="18"/>
  <c r="D42" i="18"/>
  <c r="D52" i="18"/>
  <c r="D74" i="18"/>
  <c r="D77" i="18"/>
  <c r="D87" i="18"/>
  <c r="D90" i="18"/>
  <c r="D115"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190" i="14"/>
  <c r="D233" i="14"/>
  <c r="D278" i="14"/>
  <c r="D270" i="14"/>
  <c r="D357" i="14"/>
  <c r="D354" i="14"/>
  <c r="D353" i="14"/>
  <c r="D350" i="14"/>
  <c r="D349" i="14"/>
  <c r="D346" i="14"/>
  <c r="D345" i="14"/>
  <c r="D342" i="14"/>
  <c r="D341" i="14"/>
  <c r="D385" i="14"/>
  <c r="D381" i="14"/>
  <c r="D468" i="14"/>
  <c r="D460" i="14"/>
  <c r="D545" i="14"/>
  <c r="D537" i="14"/>
  <c r="D621" i="14"/>
  <c r="D613"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232" i="14"/>
  <c r="D229" i="14"/>
  <c r="D275" i="14"/>
  <c r="D267" i="14"/>
  <c r="D391" i="14"/>
  <c r="D384" i="14"/>
  <c r="D380"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730" i="14"/>
  <c r="D722" i="14"/>
  <c r="D1420" i="22"/>
  <c r="D46" i="21"/>
  <c r="D59" i="21"/>
  <c r="D145" i="21"/>
  <c r="D161" i="21"/>
  <c r="D180" i="21"/>
  <c r="D39" i="22"/>
  <c r="D85" i="22"/>
  <c r="D77" i="22"/>
  <c r="D122" i="22"/>
  <c r="D114" i="22"/>
  <c r="D113"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69" i="22"/>
  <c r="D509" i="22"/>
  <c r="D506" i="22"/>
  <c r="D505" i="22"/>
  <c r="D502" i="22"/>
  <c r="D501" i="22"/>
  <c r="D498" i="22"/>
  <c r="D620" i="22"/>
  <c r="D612" i="22"/>
  <c r="D654" i="22"/>
  <c r="D646" i="22"/>
  <c r="D692" i="22"/>
  <c r="D684" i="22"/>
  <c r="D730" i="22"/>
  <c r="D722" i="22"/>
  <c r="D772" i="22"/>
  <c r="D811" i="22"/>
  <c r="D809" i="22"/>
  <c r="D799" i="22"/>
  <c r="D887" i="22"/>
  <c r="D879" i="22"/>
  <c r="D962" i="22"/>
  <c r="D958" i="22"/>
  <c r="D954" i="22"/>
  <c r="D950" i="22"/>
  <c r="D1003" i="22"/>
  <c r="D1002" i="22"/>
  <c r="D989" i="22"/>
  <c r="D1039" i="22"/>
  <c r="D1035" i="22"/>
  <c r="D1031" i="22"/>
  <c r="D1027" i="22"/>
  <c r="D1072" i="22"/>
  <c r="D1071" i="22"/>
  <c r="D1069" i="22"/>
  <c r="D1068" i="22"/>
  <c r="D1067" i="22"/>
  <c r="D1065" i="22"/>
  <c r="D1115" i="22"/>
  <c r="D1229" i="22"/>
  <c r="D1221" i="22"/>
  <c r="D1295" i="22"/>
  <c r="D1338" i="22"/>
  <c r="D1334" i="22"/>
  <c r="D1330" i="22"/>
  <c r="D1490" i="22"/>
  <c r="D1482" i="22"/>
  <c r="D1532" i="22"/>
  <c r="D1528" i="22"/>
  <c r="D1524" i="22"/>
  <c r="D1520" i="22"/>
  <c r="D1646" i="22"/>
  <c r="D1642" i="22"/>
  <c r="D1638" i="22"/>
  <c r="D1634" i="22"/>
  <c r="D1677" i="22"/>
  <c r="D1756" i="22"/>
  <c r="D1790" i="22"/>
  <c r="D1789" i="22"/>
  <c r="D1786" i="22"/>
  <c r="D1785" i="22"/>
  <c r="D1838" i="22"/>
  <c r="D1837" i="22"/>
  <c r="D1834" i="22"/>
  <c r="D1833" i="22"/>
  <c r="D1830" i="22"/>
  <c r="D1829" i="22"/>
  <c r="D1826" i="22"/>
  <c r="D1825" i="22"/>
  <c r="D1822" i="22"/>
  <c r="D1874" i="22"/>
  <c r="D1872" i="22"/>
  <c r="D1866" i="22"/>
  <c r="D38" i="22"/>
  <c r="D84" i="22"/>
  <c r="D76" i="22"/>
  <c r="D119" i="22"/>
  <c r="D163" i="22"/>
  <c r="D157"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97" i="22"/>
  <c r="D689" i="22"/>
  <c r="D735" i="22"/>
  <c r="D727"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594"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28" i="22"/>
  <c r="D281" i="22"/>
  <c r="D278" i="22"/>
  <c r="D277" i="22"/>
  <c r="D274" i="22"/>
  <c r="D273" i="22"/>
  <c r="D270" i="22"/>
  <c r="D269" i="22"/>
  <c r="D266" i="22"/>
  <c r="D265" i="22"/>
  <c r="D317" i="22"/>
  <c r="D309" i="22"/>
  <c r="D464" i="22"/>
  <c r="D463" i="22"/>
  <c r="D461" i="22"/>
  <c r="D457"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9" i="5"/>
  <c r="D127" i="5"/>
  <c r="D155" i="5"/>
  <c r="D47" i="18"/>
  <c r="D82" i="18"/>
  <c r="D1671" i="21"/>
  <c r="D1679" i="21"/>
  <c r="D1687" i="21"/>
  <c r="D41" i="18"/>
  <c r="D49" i="18"/>
  <c r="D113" i="18"/>
  <c r="D114" i="18"/>
  <c r="D129" i="18"/>
  <c r="D153" i="18"/>
  <c r="D161" i="18"/>
  <c r="D188" i="18"/>
  <c r="D196" i="18"/>
  <c r="D156" i="18"/>
  <c r="D164" i="18"/>
  <c r="D191" i="18"/>
  <c r="D199" i="18"/>
  <c r="D200" i="18"/>
  <c r="D192" i="18"/>
  <c r="D203" i="18"/>
  <c r="D204" i="18"/>
  <c r="D118" i="18"/>
  <c r="D122" i="18"/>
  <c r="D126" i="18"/>
  <c r="D152" i="18"/>
  <c r="D160" i="18"/>
  <c r="D195" i="18"/>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31" i="22"/>
  <c r="D1230" i="22"/>
  <c r="D1222" i="22"/>
  <c r="D1218" i="22"/>
  <c r="D1217" i="22"/>
  <c r="D1214" i="22"/>
  <c r="D1227" i="22"/>
  <c r="D1226" i="22"/>
  <c r="D1219" i="22"/>
  <c r="D1215" i="22"/>
  <c r="D1193" i="22"/>
  <c r="D1189" i="22"/>
  <c r="D1185" i="22"/>
  <c r="D1181" i="22"/>
  <c r="D1177" i="22"/>
  <c r="D1155" i="22"/>
  <c r="D1151" i="22"/>
  <c r="D1147" i="22"/>
  <c r="D1143" i="22"/>
  <c r="D1139" i="22"/>
  <c r="D1109" i="22"/>
  <c r="D1105" i="22"/>
  <c r="D1101" i="22"/>
  <c r="D1063"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46" i="22"/>
  <c r="D545" i="22"/>
  <c r="D542" i="22"/>
  <c r="D541" i="22"/>
  <c r="D538" i="22"/>
  <c r="D537" i="22"/>
  <c r="D534" i="22"/>
  <c r="D533" i="22"/>
  <c r="D547" i="22"/>
  <c r="D543" i="22"/>
  <c r="D539" i="22"/>
  <c r="D535" i="22"/>
  <c r="D530"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19" i="22"/>
  <c r="D318" i="22"/>
  <c r="D311" i="22"/>
  <c r="D310" i="22"/>
  <c r="D303" i="22"/>
  <c r="D302" i="22"/>
  <c r="D315" i="22"/>
  <c r="D314" i="22"/>
  <c r="D307" i="22"/>
  <c r="D306" i="22"/>
  <c r="D280" i="22"/>
  <c r="D279" i="22"/>
  <c r="D276" i="22"/>
  <c r="D275" i="22"/>
  <c r="D272" i="22"/>
  <c r="D271" i="22"/>
  <c r="D268" i="22"/>
  <c r="D267" i="22"/>
  <c r="D264"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18" i="14"/>
  <c r="D317" i="14"/>
  <c r="D314" i="14"/>
  <c r="D313" i="14"/>
  <c r="D310" i="14"/>
  <c r="D309" i="14"/>
  <c r="D306" i="14"/>
  <c r="D305" i="14"/>
  <c r="D302" i="14"/>
  <c r="D281" i="14"/>
  <c r="D280" i="14"/>
  <c r="D273" i="14"/>
  <c r="D272" i="14"/>
  <c r="D265" i="14"/>
  <c r="D264" i="14"/>
  <c r="D277" i="14"/>
  <c r="D276" i="14"/>
  <c r="D269" i="14"/>
  <c r="D268" i="14"/>
  <c r="D242" i="14"/>
  <c r="D241" i="14"/>
  <c r="D238" i="14"/>
  <c r="D237" i="14"/>
  <c r="D227" i="14"/>
  <c r="D226" i="14"/>
  <c r="D230" i="14"/>
  <c r="D205" i="14"/>
  <c r="D204" i="14"/>
  <c r="D197" i="14"/>
  <c r="D196" i="14"/>
  <c r="D189" i="14"/>
  <c r="D166" i="14"/>
  <c r="D162" i="14"/>
  <c r="D158" i="14"/>
  <c r="D154" i="14"/>
  <c r="D150" i="14"/>
  <c r="D129" i="14"/>
  <c r="D125" i="14"/>
  <c r="D121" i="14"/>
  <c r="D117" i="14"/>
  <c r="D113" i="14"/>
  <c r="D90" i="14"/>
  <c r="D89" i="14"/>
  <c r="D86" i="14"/>
  <c r="D85" i="14"/>
  <c r="D82" i="14"/>
  <c r="D81" i="14"/>
  <c r="D78" i="14"/>
  <c r="D77" i="14"/>
  <c r="D74" i="14"/>
  <c r="D52" i="14"/>
  <c r="D51" i="14"/>
  <c r="D48" i="14"/>
  <c r="D47" i="14"/>
  <c r="D44" i="14"/>
  <c r="D43" i="14"/>
  <c r="D40" i="14"/>
  <c r="D39" i="14"/>
  <c r="D36"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K1654" i="21"/>
  <c r="K1312" i="21"/>
  <c r="K742" i="21"/>
  <c r="K1198" i="21"/>
  <c r="K1388" i="21"/>
  <c r="T61" i="9" a="1"/>
  <c r="AE61" i="9" a="1"/>
  <c r="AP61" i="9" a="1"/>
  <c r="J61" i="9" a="1"/>
  <c r="Y61" i="9" a="1"/>
  <c r="P61" i="9" a="1"/>
  <c r="K286" i="21"/>
  <c r="K400" i="21"/>
  <c r="K1046" i="21"/>
  <c r="K1502" i="21"/>
  <c r="K856" i="21"/>
  <c r="E61" i="9" a="1"/>
  <c r="K970" i="21"/>
  <c r="K1008" i="21"/>
  <c r="AJ61" i="9" a="1"/>
  <c r="AA61" i="9" a="1"/>
  <c r="AL61" i="9" a="1"/>
  <c r="F61" i="9" a="1"/>
  <c r="U61" i="9" a="1"/>
  <c r="AF61" i="9" a="1"/>
  <c r="K514" i="21"/>
  <c r="K780" i="21"/>
  <c r="K818" i="21"/>
  <c r="K1464" i="21"/>
  <c r="G61" i="9" a="1"/>
  <c r="AN61" i="9" a="1"/>
  <c r="K1350" i="21"/>
  <c r="AC61" i="9" a="1"/>
  <c r="H61" i="9" a="1"/>
  <c r="W61" i="9" a="1"/>
  <c r="AH61" i="9" a="1"/>
  <c r="AW61" i="9" a="1"/>
  <c r="Q61" i="9" a="1"/>
  <c r="AV61" i="9" a="1"/>
  <c r="K552" i="21"/>
  <c r="K438" i="21"/>
  <c r="K1084" i="21"/>
  <c r="K1616" i="21"/>
  <c r="R61" i="9" a="1"/>
  <c r="K1426" i="21"/>
  <c r="K1540" i="21"/>
  <c r="X61" i="9" a="1"/>
  <c r="S61" i="9" a="1"/>
  <c r="AD61" i="9" a="1"/>
  <c r="AS61" i="9" a="1"/>
  <c r="M61" i="9" a="1"/>
  <c r="K20" i="21"/>
  <c r="K134" i="21"/>
  <c r="K704" i="21"/>
  <c r="K1160" i="21"/>
  <c r="K1578" i="21"/>
  <c r="AG61" i="9" a="1"/>
  <c r="N61" i="9" a="1"/>
  <c r="K666" i="21"/>
  <c r="K362" i="21"/>
  <c r="K628" i="21"/>
  <c r="AU61" i="9" a="1"/>
  <c r="O61" i="9" a="1"/>
  <c r="Z61" i="9" a="1"/>
  <c r="AO61" i="9" a="1"/>
  <c r="I61" i="9" a="1"/>
  <c r="K96" i="21"/>
  <c r="K248" i="21"/>
  <c r="K476" i="21"/>
  <c r="K1274" i="21"/>
  <c r="K1692" i="21"/>
  <c r="K58" i="21"/>
  <c r="K210" i="21"/>
  <c r="K1122" i="21"/>
  <c r="AQ61" i="9" a="1"/>
  <c r="K61" i="9" a="1"/>
  <c r="V61" i="9" a="1"/>
  <c r="AK61" i="9" a="1"/>
  <c r="L61" i="9" a="1"/>
  <c r="K172" i="21"/>
  <c r="K324" i="21"/>
  <c r="K932" i="21"/>
  <c r="K1236" i="21"/>
  <c r="AM61" i="9" a="1"/>
  <c r="K590" i="21"/>
  <c r="AT61" i="9" a="1"/>
  <c r="AR61" i="9" a="1"/>
  <c r="AB61" i="9" a="1"/>
  <c r="AI61" i="9" a="1"/>
  <c r="K894" i="21"/>
  <c r="CG36" i="9" a="1"/>
  <c r="AK36" i="9" a="1"/>
  <c r="O36" i="9" a="1"/>
  <c r="H36" i="9" a="1"/>
  <c r="CP36" i="9" a="1"/>
  <c r="BO36" i="9" a="1"/>
  <c r="AO36" i="9" a="1"/>
  <c r="CM36" i="9" a="1"/>
  <c r="L36" i="9" a="1"/>
  <c r="BA36" i="9" a="1"/>
  <c r="CJ36" i="9" a="1"/>
  <c r="BH36" i="9" a="1"/>
  <c r="CA35" i="9" a="1"/>
  <c r="CB34" i="9" a="1"/>
  <c r="BH34" i="9" a="1"/>
  <c r="BX33" i="9" a="1"/>
  <c r="CJ32" i="9" a="1"/>
  <c r="AW32" i="9" a="1"/>
  <c r="AI31" i="9" a="1"/>
  <c r="CJ30" i="9" a="1"/>
  <c r="R30" i="9" a="1"/>
  <c r="CQ29" i="9" a="1"/>
  <c r="J28" i="9" a="1"/>
  <c r="CG25" i="9" a="1"/>
  <c r="Q25" i="9" a="1"/>
  <c r="AL26" i="9" a="1"/>
  <c r="E27" i="9" a="1"/>
  <c r="AE35" i="9" a="1"/>
  <c r="AV34" i="9" a="1"/>
  <c r="AB34" i="9" a="1"/>
  <c r="AR33" i="9" a="1"/>
  <c r="BC32" i="9" a="1"/>
  <c r="BT32" i="9" a="1"/>
  <c r="BD31" i="9" a="1"/>
  <c r="W30" i="9" a="1"/>
  <c r="AU30" i="9" a="1"/>
  <c r="AD29" i="9" a="1"/>
  <c r="AN28" i="9" a="1"/>
  <c r="CM23" i="9" a="1"/>
  <c r="CI23" i="9" a="1"/>
  <c r="AT25" i="9" a="1"/>
  <c r="CO24" i="9" a="1"/>
  <c r="Y35" i="9" a="1"/>
  <c r="AX34" i="9" a="1"/>
  <c r="CP34" i="9" a="1"/>
  <c r="J33" i="9" a="1"/>
  <c r="BQ32" i="9" a="1"/>
  <c r="CH32" i="9" a="1"/>
  <c r="AM31" i="9" a="1"/>
  <c r="CB30" i="9" a="1"/>
  <c r="L29" i="9" a="1"/>
  <c r="BQ29" i="9" a="1"/>
  <c r="AL28" i="9" a="1"/>
  <c r="BG23" i="9" a="1"/>
  <c r="AY23" i="9" a="1"/>
  <c r="CF23" i="9" a="1"/>
  <c r="AO23" i="9" a="1"/>
  <c r="BV23" i="9" a="1"/>
  <c r="CM35" i="9" a="1"/>
  <c r="G34" i="9" a="1"/>
  <c r="BJ34" i="9" a="1"/>
  <c r="AH33" i="9" a="1"/>
  <c r="CC32" i="9" a="1"/>
  <c r="CH31" i="9" a="1"/>
  <c r="F31" i="9" a="1"/>
  <c r="BM30" i="9" a="1"/>
  <c r="CF29" i="9" a="1"/>
  <c r="CK29" i="9" a="1"/>
  <c r="G28" i="9" a="1"/>
  <c r="AA27" i="9" a="1"/>
  <c r="S27" i="9" a="1"/>
  <c r="Y27" i="9" a="1"/>
  <c r="AK35" i="9" a="1"/>
  <c r="V35" i="9" a="1"/>
  <c r="W34" i="9" a="1"/>
  <c r="CO33" i="9" a="1"/>
  <c r="BQ33" i="9" a="1"/>
  <c r="K32" i="9" a="1"/>
  <c r="AB31" i="9" a="1"/>
  <c r="CJ31" i="9" a="1"/>
  <c r="BT30" i="9" a="1"/>
  <c r="F29" i="9" a="1"/>
  <c r="CJ28" i="9" a="1"/>
  <c r="BX28" i="9" a="1"/>
  <c r="AO26" i="9" a="1"/>
  <c r="BQ26" i="9" a="1"/>
  <c r="BY24" i="9" a="1"/>
  <c r="BK35" i="9" a="1"/>
  <c r="AO35" i="9" a="1"/>
  <c r="CE34" i="9" a="1"/>
  <c r="P33" i="9" a="1"/>
  <c r="BG32" i="9" a="1"/>
  <c r="BE32" i="9" a="1"/>
  <c r="Y31" i="9" a="1"/>
  <c r="BJ30" i="9" a="1"/>
  <c r="CI30" i="9" a="1"/>
  <c r="BW29" i="9" a="1"/>
  <c r="N28" i="9" a="1"/>
  <c r="BG28" i="9" a="1"/>
  <c r="AL25" i="9" a="1"/>
  <c r="BM25" i="9" a="1"/>
  <c r="AY25" i="9" a="1"/>
  <c r="CH35" i="9" a="1"/>
  <c r="AZ34" i="9" a="1"/>
  <c r="CL34" i="9" a="1"/>
  <c r="AC33" i="9" a="1"/>
  <c r="BI32" i="9" a="1"/>
  <c r="BS31" i="9" a="1"/>
  <c r="CR31" i="9" a="1"/>
  <c r="CC30" i="9" a="1"/>
  <c r="AV29" i="9" a="1"/>
  <c r="CE29" i="9" a="1"/>
  <c r="CK28" i="9" a="1"/>
  <c r="O27" i="9" a="1"/>
  <c r="G27" i="9" a="1"/>
  <c r="AF27" i="9" a="1"/>
  <c r="BK34" i="9" a="1"/>
  <c r="BL21" i="9" a="1"/>
  <c r="F32" i="9" a="1"/>
  <c r="BL26" i="9" a="1"/>
  <c r="AP23" i="9" a="1"/>
  <c r="AL23" i="9" a="1"/>
  <c r="BN23" i="9" a="1"/>
  <c r="BY22" i="9" a="1"/>
  <c r="CG22" i="9" a="1"/>
  <c r="BF21" i="9" a="1"/>
  <c r="K666" i="14"/>
  <c r="AY36" i="9" a="1"/>
  <c r="I36" i="9" a="1"/>
  <c r="AP36" i="9" a="1"/>
  <c r="BP36" i="9" a="1"/>
  <c r="M36" i="9" a="1"/>
  <c r="CQ36" i="9" a="1"/>
  <c r="AR36" i="9" a="1"/>
  <c r="Z36" i="9" a="1"/>
  <c r="BG36" i="9" a="1"/>
  <c r="Y36" i="9" a="1"/>
  <c r="W36" i="9" a="1"/>
  <c r="X36" i="9" a="1"/>
  <c r="CJ35" i="9" a="1"/>
  <c r="L34" i="9" a="1"/>
  <c r="BO34" i="9" a="1"/>
  <c r="BO33" i="9" a="1"/>
  <c r="AT32" i="9" a="1"/>
  <c r="CM31" i="9" a="1"/>
  <c r="BO31" i="9" a="1"/>
  <c r="AT30" i="9" a="1"/>
  <c r="CL29" i="9" a="1"/>
  <c r="AZ29" i="9" a="1"/>
  <c r="AW28" i="9" a="1"/>
  <c r="BM27" i="9" a="1"/>
  <c r="BI27" i="9" a="1"/>
  <c r="AD27" i="9" a="1"/>
  <c r="BD23" i="9" a="1"/>
  <c r="R35" i="9" a="1"/>
  <c r="AQ34" i="9" a="1"/>
  <c r="CR34" i="9" a="1"/>
  <c r="AI33" i="9" a="1"/>
  <c r="N32" i="9" a="1"/>
  <c r="BF31" i="9" a="1"/>
  <c r="BR31" i="9" a="1"/>
  <c r="BW30" i="9" a="1"/>
  <c r="Y29" i="9" a="1"/>
  <c r="R29" i="9" a="1"/>
  <c r="BS28" i="9" a="1"/>
  <c r="AG27" i="9" a="1"/>
  <c r="AC27" i="9" a="1"/>
  <c r="CL27" i="9" a="1"/>
  <c r="CM27" i="9" a="1"/>
  <c r="CO35" i="9" a="1"/>
  <c r="M34" i="9" a="1"/>
  <c r="X33" i="9" a="1"/>
  <c r="BP33" i="9" a="1"/>
  <c r="BV32" i="9" a="1"/>
  <c r="CB31" i="9" a="1"/>
  <c r="S31" i="9" a="1"/>
  <c r="AR30" i="9" a="1"/>
  <c r="H29" i="9" a="1"/>
  <c r="CM29" i="9" a="1"/>
  <c r="T28" i="9" a="1"/>
  <c r="CQ24" i="9" a="1"/>
  <c r="AE24" i="9" a="1"/>
  <c r="CN24" i="9" a="1"/>
  <c r="BC27" i="9" a="1"/>
  <c r="BQ35" i="9" a="1"/>
  <c r="BB35" i="9" a="1"/>
  <c r="CF34" i="9" a="1"/>
  <c r="U33" i="9" a="1"/>
  <c r="M33" i="9" a="1"/>
  <c r="AQ32" i="9" a="1"/>
  <c r="CO31" i="9" a="1"/>
  <c r="AC31" i="9" a="1"/>
  <c r="M30" i="9" a="1"/>
  <c r="AU29" i="9" a="1"/>
  <c r="AG29" i="9" a="1"/>
  <c r="AS28" i="9" a="1"/>
  <c r="BU26" i="9" a="1"/>
  <c r="U24" i="9" a="1"/>
  <c r="AV24" i="9" a="1"/>
  <c r="K35" i="9" a="1"/>
  <c r="BU35" i="9" a="1"/>
  <c r="AF34" i="9" a="1"/>
  <c r="AV33" i="9" a="1"/>
  <c r="CN32" i="9" a="1"/>
  <c r="AJ32" i="9" a="1"/>
  <c r="BL31" i="9" a="1"/>
  <c r="AE30" i="9" a="1"/>
  <c r="BC30" i="9" a="1"/>
  <c r="AO29" i="9" a="1"/>
  <c r="AT28" i="9" a="1"/>
  <c r="CN28" i="9" a="1"/>
  <c r="I25" i="9" a="1"/>
  <c r="W25" i="9" a="1"/>
  <c r="CE25" i="9" a="1"/>
  <c r="CQ35" i="9" a="1"/>
  <c r="O34" i="9" a="1"/>
  <c r="BR34" i="9" a="1"/>
  <c r="G33" i="9" a="1"/>
  <c r="R32" i="9" a="1"/>
  <c r="BK32" i="9" a="1"/>
  <c r="AP31" i="9" a="1"/>
  <c r="AG30" i="9" a="1"/>
  <c r="CG30" i="9" a="1"/>
  <c r="BH29" i="9" a="1"/>
  <c r="BE28" i="9" a="1"/>
  <c r="BA23" i="9" a="1"/>
  <c r="AW23" i="9" a="1"/>
  <c r="R23" i="9" a="1"/>
  <c r="AF35" i="9" a="1"/>
  <c r="AW35" i="9" a="1"/>
  <c r="AO34" i="9" a="1"/>
  <c r="CF33" i="9" a="1"/>
  <c r="CG33" i="9" a="1"/>
  <c r="AL32" i="9" a="1"/>
  <c r="BT31" i="9" a="1"/>
  <c r="AZ31" i="9" a="1"/>
  <c r="H30" i="9" a="1"/>
  <c r="BJ29" i="9" a="1"/>
  <c r="W28" i="9" a="1"/>
  <c r="AG28" i="9" a="1"/>
  <c r="BP26" i="9" a="1"/>
  <c r="E26" i="9" a="1"/>
  <c r="BM26" i="9" a="1"/>
  <c r="M25" i="9" a="1"/>
  <c r="K58" i="18"/>
  <c r="S36" i="9" a="1"/>
  <c r="P36" i="9" a="1"/>
  <c r="J36" i="9" a="1"/>
  <c r="BS36" i="9" a="1"/>
  <c r="AW36" i="9" a="1"/>
  <c r="BJ36" i="9" a="1"/>
  <c r="AQ36" i="9" a="1"/>
  <c r="CH36" i="9" a="1"/>
  <c r="AA36" i="9" a="1"/>
  <c r="AF36" i="9" a="1"/>
  <c r="CD36" i="9" a="1"/>
  <c r="AB36" i="9" a="1"/>
  <c r="U35" i="9" a="1"/>
  <c r="BY34" i="9" a="1"/>
  <c r="CK33" i="9" a="1"/>
  <c r="CJ33" i="9" a="1"/>
  <c r="AU32" i="9" a="1"/>
  <c r="AJ31" i="9" a="1"/>
  <c r="BH31" i="9" a="1"/>
  <c r="Q30" i="9" a="1"/>
  <c r="BT29" i="9" a="1"/>
  <c r="S29" i="9" a="1"/>
  <c r="BA28" i="9" a="1"/>
  <c r="BO24" i="9" a="1"/>
  <c r="CR24" i="9" a="1"/>
  <c r="CO27" i="9" a="1"/>
  <c r="CK27" i="9" a="1"/>
  <c r="BL35" i="9" a="1"/>
  <c r="AS34" i="9" a="1"/>
  <c r="BD33" i="9" a="1"/>
  <c r="AK33" i="9" a="1"/>
  <c r="O32" i="9" a="1"/>
  <c r="BG31" i="9" a="1"/>
  <c r="CE31" i="9" a="1"/>
  <c r="BX30" i="9" a="1"/>
  <c r="AN29" i="9" a="1"/>
  <c r="BI29" i="9" a="1"/>
  <c r="CF28" i="9" a="1"/>
  <c r="AI24" i="9" a="1"/>
  <c r="BK24" i="9" a="1"/>
  <c r="AB27" i="9" a="1"/>
  <c r="J35" i="9" a="1"/>
  <c r="CI35" i="9" a="1"/>
  <c r="AH34" i="9" a="1"/>
  <c r="BB33" i="9" a="1"/>
  <c r="AD33" i="9" a="1"/>
  <c r="BW32" i="9" a="1"/>
  <c r="BK31" i="9" a="1"/>
  <c r="BI31" i="9" a="1"/>
  <c r="AS30" i="9" a="1"/>
  <c r="AT29" i="9" a="1"/>
  <c r="P29" i="9" a="1"/>
  <c r="P28" i="9" a="1"/>
  <c r="AC24" i="9" a="1"/>
  <c r="CH24" i="9" a="1"/>
  <c r="Y24" i="9" a="1"/>
  <c r="R24" i="9" a="1"/>
  <c r="BR35" i="9" a="1"/>
  <c r="AQ35" i="9" a="1"/>
  <c r="AA34" i="9" a="1"/>
  <c r="O33" i="9" a="1"/>
  <c r="AA33" i="9" a="1"/>
  <c r="X32" i="9" a="1"/>
  <c r="AX31" i="9" a="1"/>
  <c r="CA31" i="9" a="1"/>
  <c r="BG30" i="9" a="1"/>
  <c r="AE29" i="9" a="1"/>
  <c r="CH28" i="9" a="1"/>
  <c r="BF28" i="9" a="1"/>
  <c r="CD26" i="9" a="1"/>
  <c r="AY26" i="9" a="1"/>
  <c r="BZ26" i="9" a="1"/>
  <c r="CB35" i="9" a="1"/>
  <c r="CG34" i="9" a="1"/>
  <c r="CJ34" i="9" a="1"/>
  <c r="BI33" i="9" a="1"/>
  <c r="AG32" i="9" a="1"/>
  <c r="BJ32" i="9" a="1"/>
  <c r="I31" i="9" a="1"/>
  <c r="CF30" i="9" a="1"/>
  <c r="E30" i="9" a="1"/>
  <c r="BY29" i="9" a="1"/>
  <c r="AU28" i="9" a="1"/>
  <c r="AC28" i="9" a="1"/>
  <c r="AM24" i="9" a="1"/>
  <c r="X23" i="9" a="1"/>
  <c r="R25" i="9" a="1"/>
  <c r="AJ35" i="9" a="1"/>
  <c r="Q34" i="9" a="1"/>
  <c r="CK34" i="9" a="1"/>
  <c r="BT33" i="9" a="1"/>
  <c r="AY32" i="9" a="1"/>
  <c r="BL32" i="9" a="1"/>
  <c r="AA31" i="9" a="1"/>
  <c r="AX30" i="9" a="1"/>
  <c r="G29" i="9" a="1"/>
  <c r="BE29" i="9" a="1"/>
  <c r="BI28" i="9" a="1"/>
  <c r="BR27" i="9" a="1"/>
  <c r="BN27" i="9" a="1"/>
  <c r="BL23" i="9" a="1"/>
  <c r="BM35" i="9" a="1"/>
  <c r="CD35" i="9" a="1"/>
  <c r="V34" i="9" a="1"/>
  <c r="I33" i="9" a="1"/>
  <c r="AG33" i="9" a="1"/>
  <c r="BS32" i="9" a="1"/>
  <c r="AS31" i="9" a="1"/>
  <c r="AC30" i="9" a="1"/>
  <c r="AO30" i="9" a="1"/>
  <c r="AX29" i="9" a="1"/>
  <c r="BU28" i="9" a="1"/>
  <c r="H28" i="9" a="1"/>
  <c r="BL25" i="9" a="1"/>
  <c r="AM26" i="9" a="1"/>
  <c r="BN26" i="9" a="1"/>
  <c r="BE23" i="9" a="1"/>
  <c r="BH35" i="9" a="1"/>
  <c r="AH30" i="9" a="1"/>
  <c r="CJ24" i="9" a="1"/>
  <c r="BZ24" i="9" a="1"/>
  <c r="BV24" i="9" a="1"/>
  <c r="K24" i="9" a="1"/>
  <c r="CC22" i="9" a="1"/>
  <c r="AT22" i="9" a="1"/>
  <c r="AF21" i="9" a="1"/>
  <c r="K134" i="15"/>
  <c r="BZ36" i="9" a="1"/>
  <c r="BR36" i="9" a="1"/>
  <c r="BQ36" i="9" a="1"/>
  <c r="AM36" i="9" a="1"/>
  <c r="BD36" i="9" a="1"/>
  <c r="AD36" i="9" a="1"/>
  <c r="U36" i="9" a="1"/>
  <c r="BL36" i="9" a="1"/>
  <c r="CI36" i="9" a="1"/>
  <c r="AJ36" i="9" a="1"/>
  <c r="AX36" i="9" a="1"/>
  <c r="BV35" i="9" a="1"/>
  <c r="AV35" i="9" a="1"/>
  <c r="CQ34" i="9" a="1"/>
  <c r="Q33" i="9" a="1"/>
  <c r="Z33" i="9" a="1"/>
  <c r="AF32" i="9" a="1"/>
  <c r="AW31" i="9" a="1"/>
  <c r="AH31" i="9" a="1"/>
  <c r="BO30" i="9" a="1"/>
  <c r="CC29" i="9" a="1"/>
  <c r="BA29" i="9" a="1"/>
  <c r="AD28" i="9" a="1"/>
  <c r="BL24" i="9" a="1"/>
  <c r="AG24" i="9" a="1"/>
  <c r="BP24" i="9" a="1"/>
  <c r="AP35" i="9" a="1"/>
  <c r="AM35" i="9" a="1"/>
  <c r="AD34" i="9" a="1"/>
  <c r="CP33" i="9" a="1"/>
  <c r="AO33" i="9" a="1"/>
  <c r="BA32" i="9" a="1"/>
  <c r="Q31" i="9" a="1"/>
  <c r="CP31" i="9" a="1"/>
  <c r="BY30" i="9" a="1"/>
  <c r="Q29" i="9" a="1"/>
  <c r="BR29" i="9" a="1"/>
  <c r="CB28" i="9" a="1"/>
  <c r="CP24" i="9" a="1"/>
  <c r="BD24" i="9" a="1"/>
  <c r="CL24" i="9" a="1"/>
  <c r="CR35" i="9" a="1"/>
  <c r="T35" i="9" a="1"/>
  <c r="CN34" i="9" a="1"/>
  <c r="AU33" i="9" a="1"/>
  <c r="BG33" i="9" a="1"/>
  <c r="CL32" i="9" a="1"/>
  <c r="CD31" i="9" a="1"/>
  <c r="CQ31" i="9" a="1"/>
  <c r="AD30" i="9" a="1"/>
  <c r="BK29" i="9" a="1"/>
  <c r="BD28" i="9" a="1"/>
  <c r="CM28" i="9" a="1"/>
  <c r="BG26" i="9" a="1"/>
  <c r="V26" i="9" a="1"/>
  <c r="AB26" i="9" a="1"/>
  <c r="BI26" i="9" a="1"/>
  <c r="BW35" i="9" a="1"/>
  <c r="N35" i="9" a="1"/>
  <c r="BL34" i="9" a="1"/>
  <c r="CB33" i="9" a="1"/>
  <c r="CL33" i="9" a="1"/>
  <c r="CO32" i="9" a="1"/>
  <c r="AQ31" i="9" a="1"/>
  <c r="CR30" i="9" a="1"/>
  <c r="Z30" i="9" a="1"/>
  <c r="O29" i="9" a="1"/>
  <c r="BZ28" i="9" a="1"/>
  <c r="CG28" i="9" a="1"/>
  <c r="BU25" i="9" a="1"/>
  <c r="BC25" i="9" a="1"/>
  <c r="X25" i="9" a="1"/>
  <c r="AI35" i="9" a="1"/>
  <c r="CA34" i="9" a="1"/>
  <c r="AM34" i="9" a="1"/>
  <c r="AM33" i="9" a="1"/>
  <c r="AX32" i="9" a="1"/>
  <c r="CR32" i="9" a="1"/>
  <c r="BV31" i="9" a="1"/>
  <c r="S30" i="9" a="1"/>
  <c r="AQ30" i="9" a="1"/>
  <c r="CO29" i="9" a="1"/>
  <c r="AJ28" i="9" a="1"/>
  <c r="CH23" i="9" a="1"/>
  <c r="CC23" i="9" a="1"/>
  <c r="AX23" i="9" a="1"/>
  <c r="AJ25" i="9" a="1"/>
  <c r="Z35" i="9" a="1"/>
  <c r="BN34" i="9" a="1"/>
  <c r="CD34" i="9" a="1"/>
  <c r="AT33" i="9" a="1"/>
  <c r="AN32" i="9" a="1"/>
  <c r="U31" i="9" a="1"/>
  <c r="AG31" i="9" a="1"/>
  <c r="AI30" i="9" a="1"/>
  <c r="CG29" i="9" a="1"/>
  <c r="X29" i="9" a="1"/>
  <c r="AH28" i="9" a="1"/>
  <c r="CA27" i="9" a="1"/>
  <c r="BS27" i="9" a="1"/>
  <c r="K27" i="9" a="1"/>
  <c r="AS35" i="9" a="1"/>
  <c r="I35" i="9" a="1"/>
  <c r="S34" i="9" a="1"/>
  <c r="BW33" i="9" a="1"/>
  <c r="AA32" i="9" a="1"/>
  <c r="CB32" i="9" a="1"/>
  <c r="CK31" i="9" a="1"/>
  <c r="CN30" i="9" a="1"/>
  <c r="V30" i="9" a="1"/>
  <c r="J29" i="9" a="1"/>
  <c r="AV28" i="9" a="1"/>
  <c r="AA28" i="9" a="1"/>
  <c r="BQ25" i="9" a="1"/>
  <c r="CQ25" i="9" a="1"/>
  <c r="S25" i="9" a="1"/>
  <c r="BS25" i="9" a="1"/>
  <c r="Q35" i="9" a="1"/>
  <c r="BP29" i="9" a="1"/>
  <c r="AN24" i="9" a="1"/>
  <c r="CL26" i="9" a="1"/>
  <c r="CH26" i="9" a="1"/>
  <c r="AS24" i="9" a="1"/>
  <c r="R22" i="9" a="1"/>
  <c r="AQ21" i="9" a="1"/>
  <c r="CQ21" i="9" a="1"/>
  <c r="BC20" i="9" a="1"/>
  <c r="N36" i="9" a="1"/>
  <c r="CA36" i="9" a="1"/>
  <c r="BT36" i="9" a="1"/>
  <c r="BN36" i="9" a="1"/>
  <c r="BW36" i="9" a="1"/>
  <c r="CB36" i="9" a="1"/>
  <c r="BK36" i="9" a="1"/>
  <c r="AG36" i="9" a="1"/>
  <c r="V36" i="9" a="1"/>
  <c r="F36" i="9" a="1"/>
  <c r="BY36" i="9" a="1"/>
  <c r="CK35" i="9" a="1"/>
  <c r="CG35" i="9" a="1"/>
  <c r="BQ34" i="9" a="1"/>
  <c r="AL33" i="9" a="1"/>
  <c r="CI33" i="9" a="1"/>
  <c r="G32" i="9" a="1"/>
  <c r="BC31" i="9" a="1"/>
  <c r="BD30" i="9" a="1"/>
  <c r="BP30" i="9" a="1"/>
  <c r="I29" i="9" a="1"/>
  <c r="CE28" i="9" a="1"/>
  <c r="BP28" i="9" a="1"/>
  <c r="CN25" i="9" a="1"/>
  <c r="BH25" i="9" a="1"/>
  <c r="AE26" i="9" a="1"/>
  <c r="X35" i="9" a="1"/>
  <c r="BZ35" i="9" a="1"/>
  <c r="AK34" i="9" a="1"/>
  <c r="F33" i="9" a="1"/>
  <c r="BA33" i="9" a="1"/>
  <c r="BN32" i="9" a="1"/>
  <c r="CF31" i="9" a="1"/>
  <c r="X30" i="9" a="1"/>
  <c r="AJ30" i="9" a="1"/>
  <c r="AL29" i="9" a="1"/>
  <c r="AY28" i="9" a="1"/>
  <c r="CL28" i="9" a="1"/>
  <c r="BG25" i="9" a="1"/>
  <c r="AB25" i="9" a="1"/>
  <c r="CK25" i="9" a="1"/>
  <c r="BI35" i="9" a="1"/>
  <c r="AA35" i="9" a="1"/>
  <c r="BF34" i="9" a="1"/>
  <c r="BM33" i="9" a="1"/>
  <c r="BX32" i="9" a="1"/>
  <c r="AI32" i="9" a="1"/>
  <c r="BU31" i="9" a="1"/>
  <c r="BE30" i="9" a="1"/>
  <c r="BQ30" i="9" a="1"/>
  <c r="BG29" i="9" a="1"/>
  <c r="BM28" i="9" a="1"/>
  <c r="BL28" i="9" a="1"/>
  <c r="J27" i="9" a="1"/>
  <c r="Z25" i="9" a="1"/>
  <c r="BA25" i="9" a="1"/>
  <c r="O25" i="9" a="1"/>
  <c r="BX35" i="9" a="1"/>
  <c r="AY34" i="9" a="1"/>
  <c r="K34" i="9" a="1"/>
  <c r="BS33" i="9" a="1"/>
  <c r="CD32" i="9" a="1"/>
  <c r="AC32" i="9" a="1"/>
  <c r="O31" i="9" a="1"/>
  <c r="CE30" i="9" a="1"/>
  <c r="N30" i="9" a="1"/>
  <c r="BV29" i="9" a="1"/>
  <c r="E28" i="9" a="1"/>
  <c r="Z23" i="9" a="1"/>
  <c r="V23" i="9" a="1"/>
  <c r="CD23" i="9" a="1"/>
  <c r="H26" i="9" a="1"/>
  <c r="BF35" i="9" a="1"/>
  <c r="AL34" i="9" a="1"/>
  <c r="CE36" i="9" a="1"/>
  <c r="CF36" i="9" a="1"/>
  <c r="CL36" i="9" a="1"/>
  <c r="CN36" i="9" a="1"/>
  <c r="AS36" i="9" a="1"/>
  <c r="BP34" i="9" a="1"/>
  <c r="Y32" i="9" a="1"/>
  <c r="AB30" i="9" a="1"/>
  <c r="AX28" i="9" a="1"/>
  <c r="CO23" i="9" a="1"/>
  <c r="CP35" i="9" a="1"/>
  <c r="CA33" i="9" a="1"/>
  <c r="Z32" i="9" a="1"/>
  <c r="F30" i="9" a="1"/>
  <c r="AE28" i="9" a="1"/>
  <c r="BC23" i="9" a="1"/>
  <c r="P34" i="9" a="1"/>
  <c r="AB33" i="9" a="1"/>
  <c r="AL31" i="9" a="1"/>
  <c r="CB29" i="9" a="1"/>
  <c r="AA25" i="9" a="1"/>
  <c r="BF27" i="9" a="1"/>
  <c r="CC34" i="9" a="1"/>
  <c r="L32" i="9" a="1"/>
  <c r="AN31" i="9" a="1"/>
  <c r="E29" i="9" a="1"/>
  <c r="W27" i="9" a="1"/>
  <c r="AL35" i="9" a="1"/>
  <c r="BV34" i="9" a="1"/>
  <c r="Q32" i="9" a="1"/>
  <c r="BM31" i="9" a="1"/>
  <c r="CD29" i="9" a="1"/>
  <c r="BN28" i="9" a="1"/>
  <c r="AN27" i="9" a="1"/>
  <c r="E35" i="9" a="1"/>
  <c r="BU34" i="9" a="1"/>
  <c r="W33" i="9" a="1"/>
  <c r="AY31" i="9" a="1"/>
  <c r="AN30" i="9" a="1"/>
  <c r="BC28" i="9" a="1"/>
  <c r="I26" i="9" a="1"/>
  <c r="M24" i="9" a="1"/>
  <c r="AT34" i="9" a="1"/>
  <c r="AP33" i="9" a="1"/>
  <c r="AE32" i="9" a="1"/>
  <c r="BR30" i="9" a="1"/>
  <c r="AB29" i="9" a="1"/>
  <c r="U23" i="9" a="1"/>
  <c r="BY23" i="9" a="1"/>
  <c r="CD22" i="9" a="1"/>
  <c r="CD28" i="9" a="1"/>
  <c r="AV23" i="9" a="1"/>
  <c r="AM25" i="9" a="1"/>
  <c r="BP22" i="9" a="1"/>
  <c r="F21" i="9" a="1"/>
  <c r="AZ20" i="9" a="1"/>
  <c r="K96" i="13"/>
  <c r="K134" i="22"/>
  <c r="X22" i="9" a="1"/>
  <c r="CM34" i="9" a="1"/>
  <c r="I28" i="9" a="1"/>
  <c r="F26" i="9" a="1"/>
  <c r="AX26" i="9" a="1"/>
  <c r="AP26" i="9" a="1"/>
  <c r="K26" i="9" a="1"/>
  <c r="BH22" i="9" a="1"/>
  <c r="R21" i="9" a="1"/>
  <c r="BC21" i="9" a="1"/>
  <c r="BU20" i="9" a="1"/>
  <c r="BB20" i="9" a="1"/>
  <c r="K1616" i="22"/>
  <c r="V24" i="9" a="1"/>
  <c r="Z20" i="9" a="1"/>
  <c r="AQ33" i="9" a="1"/>
  <c r="CI28" i="9" a="1"/>
  <c r="AW25" i="9" a="1"/>
  <c r="AO25" i="9" a="1"/>
  <c r="AG25" i="9" a="1"/>
  <c r="Y25" i="9" a="1"/>
  <c r="CP22" i="9" a="1"/>
  <c r="CL21" i="9" a="1"/>
  <c r="X21" i="9" a="1"/>
  <c r="K96" i="15"/>
  <c r="CO20" i="9" a="1"/>
  <c r="K20" i="15"/>
  <c r="X26" i="9" a="1"/>
  <c r="K20" i="5"/>
  <c r="L31" i="9" a="1"/>
  <c r="BV27" i="9" a="1"/>
  <c r="V27" i="9" a="1"/>
  <c r="AX27" i="9" a="1"/>
  <c r="BZ27" i="9" a="1"/>
  <c r="Q22" i="9" a="1"/>
  <c r="CE22" i="9" a="1"/>
  <c r="BK21" i="9" a="1"/>
  <c r="BP20" i="9" a="1"/>
  <c r="K704" i="22"/>
  <c r="K96" i="18"/>
  <c r="BI24" i="9" a="1"/>
  <c r="BQ20" i="9" a="1"/>
  <c r="BQ31" i="9" a="1"/>
  <c r="BY25" i="9" a="1"/>
  <c r="CC27" i="9" a="1"/>
  <c r="R27" i="9" a="1"/>
  <c r="AT27" i="9" a="1"/>
  <c r="G22" i="9" a="1"/>
  <c r="S22" i="9" a="1"/>
  <c r="AE21" i="9" a="1"/>
  <c r="CL20" i="9" a="1"/>
  <c r="K58" i="15"/>
  <c r="K96" i="22"/>
  <c r="BF29" i="9" a="1"/>
  <c r="CI21" i="9" a="1"/>
  <c r="X34" i="9" a="1"/>
  <c r="AB28" i="9" a="1"/>
  <c r="CF25" i="9" a="1"/>
  <c r="AV25" i="9" a="1"/>
  <c r="AR25" i="9" a="1"/>
  <c r="AN25" i="9" a="1"/>
  <c r="AM22" i="9" a="1"/>
  <c r="BS21" i="9" a="1"/>
  <c r="AH21" i="9" a="1"/>
  <c r="K1046" i="22"/>
  <c r="BR20" i="9" a="1"/>
  <c r="V20" i="9" a="1"/>
  <c r="CE26" i="9" a="1"/>
  <c r="BA35" i="9" a="1"/>
  <c r="BU36" i="9" a="1"/>
  <c r="G36" i="9" a="1"/>
  <c r="AV36" i="9" a="1"/>
  <c r="CC36" i="9" a="1"/>
  <c r="CE35" i="9" a="1"/>
  <c r="Y34" i="9" a="1"/>
  <c r="AK32" i="9" a="1"/>
  <c r="BK30" i="9" a="1"/>
  <c r="K28" i="9" a="1"/>
  <c r="BI25" i="9" a="1"/>
  <c r="CF35" i="9" a="1"/>
  <c r="AS33" i="9" a="1"/>
  <c r="N31" i="9" a="1"/>
  <c r="CR29" i="9" a="1"/>
  <c r="AJ23" i="9" a="1"/>
  <c r="V25" i="9" a="1"/>
  <c r="E34" i="9" a="1"/>
  <c r="BH32" i="9" a="1"/>
  <c r="BB30" i="9" a="1"/>
  <c r="S28" i="9" a="1"/>
  <c r="CE27" i="9" a="1"/>
  <c r="AR23" i="9" a="1"/>
  <c r="BE34" i="9" a="1"/>
  <c r="AP32" i="9" a="1"/>
  <c r="AV30" i="9" a="1"/>
  <c r="CA28" i="9" a="1"/>
  <c r="CM24" i="9" a="1"/>
  <c r="AY35" i="9" a="1"/>
  <c r="BF33" i="9" a="1"/>
  <c r="AS32" i="9" a="1"/>
  <c r="CP30" i="9" a="1"/>
  <c r="CH29" i="9" a="1"/>
  <c r="Z28" i="9" a="1"/>
  <c r="BV26" i="9" a="1"/>
  <c r="P35" i="9" a="1"/>
  <c r="BM34" i="9" a="1"/>
  <c r="BD32" i="9" a="1"/>
  <c r="AU31" i="9" a="1"/>
  <c r="BL30" i="9" a="1"/>
  <c r="O28" i="9" a="1"/>
  <c r="AB24" i="9" a="1"/>
  <c r="CQ23" i="9" a="1"/>
  <c r="AI34" i="9" a="1"/>
  <c r="AE33" i="9" a="1"/>
  <c r="V31" i="9" a="1"/>
  <c r="G30" i="9" a="1"/>
  <c r="N29" i="9" a="1"/>
  <c r="T24" i="9" a="1"/>
  <c r="BB24" i="9" a="1"/>
  <c r="K20" i="18"/>
  <c r="AJ26" i="9" a="1"/>
  <c r="AA26" i="9" a="1"/>
  <c r="BW23" i="9" a="1"/>
  <c r="AI22" i="9" a="1"/>
  <c r="BU21" i="9" a="1"/>
  <c r="K134" i="14"/>
  <c r="K1274" i="22"/>
  <c r="BJ28" i="9" a="1"/>
  <c r="AB21" i="9" a="1"/>
  <c r="N33" i="9" a="1"/>
  <c r="AF25" i="9" a="1"/>
  <c r="BQ27" i="9" a="1"/>
  <c r="AI27" i="9" a="1"/>
  <c r="CJ27" i="9" a="1"/>
  <c r="BO23" i="9" a="1"/>
  <c r="CR22" i="9" a="1"/>
  <c r="BT21" i="9" a="1"/>
  <c r="K1806" i="22"/>
  <c r="K590" i="14"/>
  <c r="K324" i="15"/>
  <c r="BX20" i="9" a="1"/>
  <c r="CN26" i="9" a="1"/>
  <c r="F20" i="9" a="1"/>
  <c r="P32" i="9" a="1"/>
  <c r="AD25" i="9" a="1"/>
  <c r="BQ23" i="9" a="1"/>
  <c r="BM23" i="9" a="1"/>
  <c r="CP23" i="9" a="1"/>
  <c r="M22" i="9" a="1"/>
  <c r="BE22" i="9" a="1"/>
  <c r="Q21" i="9" a="1"/>
  <c r="CR20" i="9" a="1"/>
  <c r="AV20" i="9" a="1"/>
  <c r="G20" i="9" a="1"/>
  <c r="AN20" i="9" a="1"/>
  <c r="M27" i="9" a="1"/>
  <c r="BO35" i="9" a="1"/>
  <c r="CD30" i="9" a="1"/>
  <c r="CD24" i="9" a="1"/>
  <c r="AZ24" i="9" a="1"/>
  <c r="AR24" i="9" a="1"/>
  <c r="F24" i="9" a="1"/>
  <c r="AK22" i="9" a="1"/>
  <c r="AR22" i="9" a="1"/>
  <c r="AA21" i="9" a="1"/>
  <c r="K1692" i="22"/>
  <c r="BV20" i="9" a="1"/>
  <c r="S20" i="9" a="1"/>
  <c r="AO27" i="9" a="1"/>
  <c r="AD35" i="9" a="1"/>
  <c r="AM30" i="9" a="1"/>
  <c r="AX24" i="9" a="1"/>
  <c r="BU24" i="9" a="1"/>
  <c r="BM24" i="9" a="1"/>
  <c r="AJ24" i="9" a="1"/>
  <c r="E22" i="9" a="1"/>
  <c r="CB21" i="9" a="1"/>
  <c r="BY21" i="9" a="1"/>
  <c r="K362" i="14"/>
  <c r="AP20" i="9" a="1"/>
  <c r="AI20" i="9" a="1"/>
  <c r="BG27" i="9" a="1"/>
  <c r="BZ20" i="9" a="1"/>
  <c r="BZ32" i="9" a="1"/>
  <c r="CP27" i="9" a="1"/>
  <c r="AN26" i="9" a="1"/>
  <c r="CC25" i="9" a="1"/>
  <c r="BK25" i="9" a="1"/>
  <c r="BT26" i="9" a="1"/>
  <c r="AA22" i="9" a="1"/>
  <c r="AI21" i="9" a="1"/>
  <c r="K172" i="5"/>
  <c r="CK36" i="9" a="1"/>
  <c r="AH36" i="9" a="1"/>
  <c r="CR36" i="9" a="1"/>
  <c r="BX36" i="9" a="1"/>
  <c r="AH35" i="9" a="1"/>
  <c r="T33" i="9" a="1"/>
  <c r="BF32" i="9" a="1"/>
  <c r="BV30" i="9" a="1"/>
  <c r="BK28" i="9" a="1"/>
  <c r="M23" i="9" a="1"/>
  <c r="CN35" i="9" a="1"/>
  <c r="CN33" i="9" a="1"/>
  <c r="E31" i="9" a="1"/>
  <c r="CN29" i="9" a="1"/>
  <c r="AD26" i="9" a="1"/>
  <c r="BU23" i="9" a="1"/>
  <c r="BW34" i="9" a="1"/>
  <c r="AH32" i="9" a="1"/>
  <c r="K30" i="9" a="1"/>
  <c r="BQ28" i="9" a="1"/>
  <c r="CJ25" i="9" a="1"/>
  <c r="CN23" i="9" a="1"/>
  <c r="BI34" i="9" a="1"/>
  <c r="CQ32" i="9" a="1"/>
  <c r="L30" i="9" a="1"/>
  <c r="F28" i="9" a="1"/>
  <c r="AD23" i="9" a="1"/>
  <c r="BS35" i="9" a="1"/>
  <c r="Y33" i="9" a="1"/>
  <c r="AO32" i="9" a="1"/>
  <c r="P30" i="9" a="1"/>
  <c r="AH29" i="9" a="1"/>
  <c r="P23" i="9" a="1"/>
  <c r="AQ23" i="9" a="1"/>
  <c r="O35" i="9" a="1"/>
  <c r="S33" i="9" a="1"/>
  <c r="AZ32" i="9" a="1"/>
  <c r="AR31" i="9" a="1"/>
  <c r="CP29" i="9" a="1"/>
  <c r="AI28" i="9" a="1"/>
  <c r="Z24" i="9" a="1"/>
  <c r="AR35" i="9" a="1"/>
  <c r="AG34" i="9" a="1"/>
  <c r="BY32" i="9" a="1"/>
  <c r="BX31" i="9" a="1"/>
  <c r="AF30" i="9" a="1"/>
  <c r="BV28" i="9" a="1"/>
  <c r="BO26" i="9" a="1"/>
  <c r="O23" i="9" a="1"/>
  <c r="I34" i="9" a="1"/>
  <c r="AG26" i="9" a="1"/>
  <c r="AQ25" i="9" a="1"/>
  <c r="I27" i="9" a="1"/>
  <c r="BN22" i="9" a="1"/>
  <c r="CJ21" i="9" a="1"/>
  <c r="AT20" i="9" a="1"/>
  <c r="BS20" i="9" a="1"/>
  <c r="AI23" i="9" a="1"/>
  <c r="U20" i="9" a="1"/>
  <c r="AM32" i="9" a="1"/>
  <c r="CO25" i="9" a="1"/>
  <c r="J23" i="9" a="1"/>
  <c r="F23" i="9" a="1"/>
  <c r="AH23" i="9" a="1"/>
  <c r="AS22" i="9" a="1"/>
  <c r="CL22" i="9" a="1"/>
  <c r="CC21" i="9" a="1"/>
  <c r="K1008" i="22"/>
  <c r="N20" i="9" a="1"/>
  <c r="AM20" i="9" a="1"/>
  <c r="K210" i="15"/>
  <c r="BA24" i="9" a="1"/>
  <c r="BG20" i="9" a="1"/>
  <c r="BZ31" i="9" a="1"/>
  <c r="BE25" i="9" a="1"/>
  <c r="BB27" i="9" a="1"/>
  <c r="CD27" i="9" a="1"/>
  <c r="AF23" i="9" a="1"/>
  <c r="BG22" i="9" a="1"/>
  <c r="BB22" i="9" a="1"/>
  <c r="CR21" i="9" a="1"/>
  <c r="AK20" i="9" a="1"/>
  <c r="K970" i="22"/>
  <c r="AO20" i="9" a="1"/>
  <c r="K1236" i="22"/>
  <c r="AZ23" i="9" a="1"/>
  <c r="U34" i="9" a="1"/>
  <c r="BM29" i="9" a="1"/>
  <c r="CP26" i="9" a="1"/>
  <c r="CF26" i="9" a="1"/>
  <c r="CB26" i="9" a="1"/>
  <c r="Q26" i="9" a="1"/>
  <c r="N22" i="9" a="1"/>
  <c r="BV21" i="9" a="1"/>
  <c r="AW21" i="9" a="1"/>
  <c r="AX20" i="9" a="1"/>
  <c r="K1502" i="22"/>
  <c r="K1198" i="22"/>
  <c r="AE25" i="9" a="1"/>
  <c r="J34" i="9" a="1"/>
  <c r="CJ29" i="9" a="1"/>
  <c r="AC26" i="9" a="1"/>
  <c r="AZ26" i="9" a="1"/>
  <c r="AV26" i="9" a="1"/>
  <c r="BX26" i="9" a="1"/>
  <c r="AQ22" i="9" a="1"/>
  <c r="J21" i="9" a="1"/>
  <c r="BA21" i="9" a="1"/>
  <c r="R20" i="9" a="1"/>
  <c r="K96" i="5"/>
  <c r="L20" i="9" a="1"/>
  <c r="CE23" i="9" a="1"/>
  <c r="K58" i="14"/>
  <c r="U32" i="9" a="1"/>
  <c r="BJ27" i="9" a="1"/>
  <c r="AM23" i="9" a="1"/>
  <c r="AE23" i="9" a="1"/>
  <c r="CJ23" i="9" a="1"/>
  <c r="H22" i="9" a="1"/>
  <c r="AZ22" i="9" a="1"/>
  <c r="Z21" i="9" a="1"/>
  <c r="CM20" i="9" a="1"/>
  <c r="AR20" i="9" a="1"/>
  <c r="CK20" i="9" a="1"/>
  <c r="K590" i="22"/>
  <c r="AU36" i="9" a="1"/>
  <c r="T36" i="9" a="1"/>
  <c r="BF36" i="9" a="1"/>
  <c r="AZ36" i="9" a="1"/>
  <c r="BD35" i="9" a="1"/>
  <c r="BJ33" i="9" a="1"/>
  <c r="AT31" i="9" a="1"/>
  <c r="AJ29" i="9" a="1"/>
  <c r="G23" i="9" a="1"/>
  <c r="CI25" i="9" a="1"/>
  <c r="AJ34" i="9" a="1"/>
  <c r="AV32" i="9" a="1"/>
  <c r="CL30" i="9" a="1"/>
  <c r="R28" i="9" a="1"/>
  <c r="AB23" i="9" a="1"/>
  <c r="BY35" i="9" a="1"/>
  <c r="BV33" i="9" a="1"/>
  <c r="Z31" i="9" a="1"/>
  <c r="BZ30" i="9" a="1"/>
  <c r="Y28" i="9" a="1"/>
  <c r="BE27" i="9" a="1"/>
  <c r="BT35" i="9" a="1"/>
  <c r="BZ33" i="9" a="1"/>
  <c r="P31" i="9" a="1"/>
  <c r="BS29" i="9" a="1"/>
  <c r="CP28" i="9" a="1"/>
  <c r="BG24" i="9" a="1"/>
  <c r="AN34" i="9" a="1"/>
  <c r="CR33" i="9" a="1"/>
  <c r="CI31" i="9" a="1"/>
  <c r="AP30" i="9" a="1"/>
  <c r="AW29" i="9" a="1"/>
  <c r="AD24" i="9" a="1"/>
  <c r="AA24" i="9" a="1"/>
  <c r="W35" i="9" a="1"/>
  <c r="BU33" i="9" a="1"/>
  <c r="CG32" i="9" a="1"/>
  <c r="BI30" i="9" a="1"/>
  <c r="U29" i="9" a="1"/>
  <c r="BT28" i="9" a="1"/>
  <c r="J26" i="9" a="1"/>
  <c r="BG35" i="9" a="1"/>
  <c r="BD34" i="9" a="1"/>
  <c r="S32" i="9" a="1"/>
  <c r="AV31" i="9" a="1"/>
  <c r="AK29" i="9" a="1"/>
  <c r="CO28" i="9" a="1"/>
  <c r="AH27" i="9" a="1"/>
  <c r="L23" i="9" a="1"/>
  <c r="BL33" i="9" a="1"/>
  <c r="BR26" i="9" a="1"/>
  <c r="S23" i="9" a="1"/>
  <c r="AI25" i="9" a="1"/>
  <c r="BA22" i="9" a="1"/>
  <c r="K1084" i="22"/>
  <c r="K628" i="14"/>
  <c r="BL20" i="9" a="1"/>
  <c r="BR23" i="9" a="1"/>
  <c r="K552" i="22"/>
  <c r="CK30" i="9" a="1"/>
  <c r="CH27" i="9" a="1"/>
  <c r="P27" i="9" a="1"/>
  <c r="BT27" i="9" a="1"/>
  <c r="AQ27" i="9" a="1"/>
  <c r="AJ22" i="9" a="1"/>
  <c r="U22" i="9" a="1"/>
  <c r="I21" i="9" a="1"/>
  <c r="K172" i="22"/>
  <c r="CI20" i="9" a="1"/>
  <c r="Q20" i="9" a="1"/>
  <c r="K286" i="14"/>
  <c r="AY22" i="9" a="1"/>
  <c r="BN35" i="9" a="1"/>
  <c r="AY30" i="9" a="1"/>
  <c r="W24" i="9" a="1"/>
  <c r="N24" i="9" a="1"/>
  <c r="J24" i="9" a="1"/>
  <c r="AL24" i="9" a="1"/>
  <c r="BQ22" i="9" a="1"/>
  <c r="K22" i="9" a="1"/>
  <c r="BG21" i="9" a="1"/>
  <c r="K1122" i="22"/>
  <c r="O20" i="9" a="1"/>
  <c r="K894" i="22"/>
  <c r="K438" i="22"/>
  <c r="BF22" i="9" a="1"/>
  <c r="BR33" i="9" a="1"/>
  <c r="Q28" i="9" a="1"/>
  <c r="BZ25" i="9" a="1"/>
  <c r="BR25" i="9" a="1"/>
  <c r="BJ25" i="9" a="1"/>
  <c r="BB25" i="9" a="1"/>
  <c r="BI22" i="9" a="1"/>
  <c r="Y21" i="9" a="1"/>
  <c r="CM21" i="9" a="1"/>
  <c r="K20" i="13"/>
  <c r="AB20" i="9" a="1"/>
  <c r="CC33" i="9" a="1"/>
  <c r="BW21" i="9" a="1"/>
  <c r="BE33" i="9" a="1"/>
  <c r="BS23" i="9" a="1"/>
  <c r="N25" i="9" a="1"/>
  <c r="F25" i="9" a="1"/>
  <c r="CP25" i="9" a="1"/>
  <c r="CH25" i="9" a="1"/>
  <c r="AC22" i="9" a="1"/>
  <c r="BB21" i="9" a="1"/>
  <c r="CF21" i="9" a="1"/>
  <c r="K248" i="14"/>
  <c r="AW20" i="9" a="1"/>
  <c r="X20" i="9" a="1"/>
  <c r="CG27" i="9" a="1"/>
  <c r="AD20" i="9" a="1"/>
  <c r="O30" i="9" a="1"/>
  <c r="X27" i="9" a="1"/>
  <c r="AL36" i="9" a="1"/>
  <c r="BB36" i="9" a="1"/>
  <c r="BZ34" i="9" a="1"/>
  <c r="BA30" i="9" a="1"/>
  <c r="AF26" i="9" a="1"/>
  <c r="AX33" i="9" a="1"/>
  <c r="AR29" i="9" a="1"/>
  <c r="BH26" i="9" a="1"/>
  <c r="W32" i="9" a="1"/>
  <c r="K29" i="9" a="1"/>
  <c r="BF26" i="9" a="1"/>
  <c r="E32" i="9" a="1"/>
  <c r="Z29" i="9" a="1"/>
  <c r="H35" i="9" a="1"/>
  <c r="J32" i="9" a="1"/>
  <c r="AI29" i="9" a="1"/>
  <c r="BF24" i="9" a="1"/>
  <c r="CI34" i="9" a="1"/>
  <c r="BY31" i="9" a="1"/>
  <c r="AZ28" i="9" a="1"/>
  <c r="AQ26" i="9" a="1"/>
  <c r="AN33" i="9" a="1"/>
  <c r="CA30" i="9" a="1"/>
  <c r="AL27" i="9" a="1"/>
  <c r="O22" i="9" a="1"/>
  <c r="CB27" i="9" a="1"/>
  <c r="CO22" i="9" a="1"/>
  <c r="K932" i="22"/>
  <c r="CM33" i="9" a="1"/>
  <c r="BY33" i="9" a="1"/>
  <c r="AU25" i="9" a="1"/>
  <c r="G25" i="9" a="1"/>
  <c r="L22" i="9" a="1"/>
  <c r="CG21" i="9" a="1"/>
  <c r="BI20" i="9" a="1"/>
  <c r="J25" i="9" a="1"/>
  <c r="CI32" i="9" a="1"/>
  <c r="AZ27" i="9" a="1"/>
  <c r="H24" i="9" a="1"/>
  <c r="AE22" i="9" a="1"/>
  <c r="K210" i="22"/>
  <c r="AA20" i="9" a="1"/>
  <c r="S24" i="9" a="1"/>
  <c r="BF30" i="9" a="1"/>
  <c r="BX27" i="9" a="1"/>
  <c r="CR27" i="9" a="1"/>
  <c r="AV22" i="9" a="1"/>
  <c r="K1160" i="22"/>
  <c r="AC20" i="9" a="1"/>
  <c r="K856" i="22"/>
  <c r="BO27" i="9" a="1"/>
  <c r="BP27" i="9" a="1"/>
  <c r="BC22" i="9" a="1"/>
  <c r="N21" i="9" a="1"/>
  <c r="K780" i="22"/>
  <c r="T27" i="9" a="1"/>
  <c r="H33" i="9" a="1"/>
  <c r="AS25" i="9" a="1"/>
  <c r="CK24" i="9" a="1"/>
  <c r="BU22" i="9" a="1"/>
  <c r="AG21" i="9" a="1"/>
  <c r="CP20" i="9" a="1"/>
  <c r="K248" i="22"/>
  <c r="K1578" i="22"/>
  <c r="BD21" i="9" a="1"/>
  <c r="G31" i="9" a="1"/>
  <c r="BK27" i="9" a="1"/>
  <c r="BP23" i="9" a="1"/>
  <c r="BH23" i="9" a="1"/>
  <c r="W23" i="9" a="1"/>
  <c r="AH22" i="9" a="1"/>
  <c r="T22" i="9" a="1"/>
  <c r="T21" i="9" a="1"/>
  <c r="BF20" i="9" a="1"/>
  <c r="AX21" i="9" a="1"/>
  <c r="AE31" i="9" a="1"/>
  <c r="BX23" i="9" a="1"/>
  <c r="Q27" i="9" a="1"/>
  <c r="AS27" i="9" a="1"/>
  <c r="BU27" i="9" a="1"/>
  <c r="AO22" i="9" a="1"/>
  <c r="BO22" i="9" a="1"/>
  <c r="U21" i="9" a="1"/>
  <c r="K20" i="14"/>
  <c r="AS29" i="9" a="1"/>
  <c r="CC24" i="9" a="1"/>
  <c r="AF24" i="9" a="1"/>
  <c r="X24" i="9" a="1"/>
  <c r="CB24" i="9" a="1"/>
  <c r="AF22" i="9" a="1"/>
  <c r="P21" i="9" a="1"/>
  <c r="BI36" i="9" a="1"/>
  <c r="K36" i="9" a="1"/>
  <c r="K33" i="9" a="1"/>
  <c r="BX29" i="9" a="1"/>
  <c r="CO26" i="9" a="1"/>
  <c r="V32" i="9" a="1"/>
  <c r="W29" i="9" a="1"/>
  <c r="AZ35" i="9" a="1"/>
  <c r="H32" i="9" a="1"/>
  <c r="AM28" i="9" a="1"/>
  <c r="AC35" i="9" a="1"/>
  <c r="T32" i="9" a="1"/>
  <c r="AO28" i="9" a="1"/>
  <c r="AW34" i="9" a="1"/>
  <c r="BA31" i="9" a="1"/>
  <c r="BD29" i="9" a="1"/>
  <c r="BW27" i="9" a="1"/>
  <c r="E33" i="9" a="1"/>
  <c r="W31" i="9" a="1"/>
  <c r="L28" i="9" a="1"/>
  <c r="BJ35" i="9" a="1"/>
  <c r="BP32" i="9" a="1"/>
  <c r="CO30" i="9" a="1"/>
  <c r="Q23" i="9" a="1"/>
  <c r="AZ33" i="9" a="1"/>
  <c r="CK23" i="9" a="1"/>
  <c r="CJ22" i="9" a="1"/>
  <c r="K1654" i="22"/>
  <c r="AA23" i="9" a="1"/>
  <c r="M31" i="9" a="1"/>
  <c r="CI27" i="9" a="1"/>
  <c r="K23" i="9" a="1"/>
  <c r="W22" i="9" a="1"/>
  <c r="H20" i="9" a="1"/>
  <c r="T20" i="9" a="1"/>
  <c r="AQ24" i="9" a="1"/>
  <c r="AA30" i="9" a="1"/>
  <c r="AU27" i="9" a="1"/>
  <c r="BL27" i="9" a="1"/>
  <c r="CB22" i="9" a="1"/>
  <c r="K172" i="15"/>
  <c r="K248" i="15"/>
  <c r="BK22" i="9" a="1"/>
  <c r="AP28" i="9" a="1"/>
  <c r="O26" i="9" a="1"/>
  <c r="BK26" i="9" a="1"/>
  <c r="AR21" i="9" a="1"/>
  <c r="K704" i="14"/>
  <c r="K514" i="22"/>
  <c r="Z34" i="9" a="1"/>
  <c r="W26" i="9" a="1"/>
  <c r="BX25" i="9" a="1"/>
  <c r="J22" i="9" a="1"/>
  <c r="E21" i="9" a="1"/>
  <c r="K20" i="9" a="1"/>
  <c r="CG26" i="9" a="1"/>
  <c r="CL31" i="9" a="1"/>
  <c r="AW27" i="9" a="1"/>
  <c r="P26" i="9" a="1"/>
  <c r="CI22" i="9" a="1"/>
  <c r="BI21" i="9" a="1"/>
  <c r="K476" i="14"/>
  <c r="K210" i="5"/>
  <c r="K58" i="22"/>
  <c r="CF27" i="9" a="1"/>
  <c r="AU24" i="9" a="1"/>
  <c r="V22" i="9" a="1"/>
  <c r="O21" i="9" a="1"/>
  <c r="K1464" i="22"/>
  <c r="K1350" i="22"/>
  <c r="BM36" i="9" a="1"/>
  <c r="BC36" i="9" a="1"/>
  <c r="AF33" i="9" a="1"/>
  <c r="AF29" i="9" a="1"/>
  <c r="N23" i="9" a="1"/>
  <c r="BM32" i="9" a="1"/>
  <c r="AR28" i="9" a="1"/>
  <c r="L35" i="9" a="1"/>
  <c r="T31" i="9" a="1"/>
  <c r="BF23" i="9" a="1"/>
  <c r="AB35" i="9" a="1"/>
  <c r="AO31" i="9" a="1"/>
  <c r="CB23" i="9" a="1"/>
  <c r="BC34" i="9" a="1"/>
  <c r="R31" i="9" a="1"/>
  <c r="U28" i="9" a="1"/>
  <c r="N26" i="9" a="1"/>
  <c r="V33" i="9" a="1"/>
  <c r="AZ30" i="9" a="1"/>
  <c r="BH28" i="9" a="1"/>
  <c r="BC35" i="9" a="1"/>
  <c r="BU32" i="9" a="1"/>
  <c r="AC29" i="9" a="1"/>
  <c r="BX24" i="9" a="1"/>
  <c r="H31" i="9" a="1"/>
  <c r="AY27" i="9" a="1"/>
  <c r="AU21" i="9" a="1"/>
  <c r="CA20" i="9" a="1"/>
  <c r="Y23" i="9" a="1"/>
  <c r="I30" i="9" a="1"/>
  <c r="AT24" i="9" a="1"/>
  <c r="BR24" i="9" a="1"/>
  <c r="BW22" i="9" a="1"/>
  <c r="K438" i="14"/>
  <c r="K514" i="14"/>
  <c r="CH22" i="9" a="1"/>
  <c r="BL29" i="9" a="1"/>
  <c r="Y26" i="9" a="1"/>
  <c r="AW26" i="9" a="1"/>
  <c r="AS21" i="9" a="1"/>
  <c r="CD20" i="9" a="1"/>
  <c r="AS20" i="9" a="1"/>
  <c r="BR21" i="9" a="1"/>
  <c r="BP25" i="9" a="1"/>
  <c r="BY26" i="9" a="1"/>
  <c r="G24" i="9" a="1"/>
  <c r="H21" i="9" a="1"/>
  <c r="K1388" i="22"/>
  <c r="CA29" i="9" a="1"/>
  <c r="CP32" i="9" a="1"/>
  <c r="AW24" i="9" a="1"/>
  <c r="Z26" i="9" a="1"/>
  <c r="CN22" i="9" a="1"/>
  <c r="K742" i="22"/>
  <c r="K172" i="14"/>
  <c r="F22" i="9" a="1"/>
  <c r="BN29" i="9" a="1"/>
  <c r="CE24" i="9" a="1"/>
  <c r="AC25" i="9" a="1"/>
  <c r="BL22" i="9" a="1"/>
  <c r="CH21" i="9" a="1"/>
  <c r="BD20" i="9" a="1"/>
  <c r="K134" i="18"/>
  <c r="AL30" i="9" a="1"/>
  <c r="K400" i="14"/>
  <c r="AW30" i="9" a="1"/>
  <c r="AY24" i="9" a="1"/>
  <c r="BW24" i="9" a="1"/>
  <c r="CA22" i="9" a="1"/>
  <c r="K400" i="22"/>
  <c r="AP21" i="9" a="1"/>
  <c r="AI36" i="9" a="1"/>
  <c r="R36" i="9" a="1"/>
  <c r="BB32" i="9" a="1"/>
  <c r="BC29" i="9" a="1"/>
  <c r="S35" i="9" a="1"/>
  <c r="BO32" i="9" a="1"/>
  <c r="BR28" i="9" a="1"/>
  <c r="AT35" i="9" a="1"/>
  <c r="BJ31" i="9" a="1"/>
  <c r="CN27" i="9" a="1"/>
  <c r="G35" i="9" a="1"/>
  <c r="BP31" i="9" a="1"/>
  <c r="BJ24" i="9" a="1"/>
  <c r="AC34" i="9" a="1"/>
  <c r="CN31" i="9" a="1"/>
  <c r="AF28" i="9" a="1"/>
  <c r="AU23" i="9" a="1"/>
  <c r="BK33" i="9" a="1"/>
  <c r="BS30" i="9" a="1"/>
  <c r="CF24" i="9" a="1"/>
  <c r="BA34" i="9" a="1"/>
  <c r="CF32" i="9" a="1"/>
  <c r="AP29" i="9" a="1"/>
  <c r="AH24" i="9" a="1"/>
  <c r="BW31" i="9" a="1"/>
  <c r="S26" i="9" a="1"/>
  <c r="AK21" i="9" a="1"/>
  <c r="E20" i="9" a="1"/>
  <c r="BO25" i="9" a="1"/>
  <c r="BU29" i="9" a="1"/>
  <c r="BE26" i="9" a="1"/>
  <c r="CC26" i="9" a="1"/>
  <c r="K21" i="9" a="1"/>
  <c r="W20" i="9" a="1"/>
  <c r="P20" i="9" a="1"/>
  <c r="AC21" i="9" a="1"/>
  <c r="BY28" i="9" a="1"/>
  <c r="CA26" i="9" a="1"/>
  <c r="AH26" i="9" a="1"/>
  <c r="BX21" i="9" a="1"/>
  <c r="I20" i="9" a="1"/>
  <c r="K1540" i="22"/>
  <c r="AO21" i="9" a="1"/>
  <c r="AS26" i="9" a="1"/>
  <c r="AG23" i="9" a="1"/>
  <c r="BT22" i="9" a="1"/>
  <c r="AT21" i="9" a="1"/>
  <c r="BY20" i="9" a="1"/>
  <c r="Q24" i="9" a="1"/>
  <c r="CM32" i="9" a="1"/>
  <c r="E23" i="9" a="1"/>
  <c r="AC23" i="9" a="1"/>
  <c r="CF22" i="9" a="1"/>
  <c r="AE20" i="9" a="1"/>
  <c r="AH20" i="9" a="1"/>
  <c r="G21" i="9" a="1"/>
  <c r="V29" i="9" a="1"/>
  <c r="I24" i="9" a="1"/>
  <c r="N27" i="9" a="1"/>
  <c r="AP22" i="9" a="1"/>
  <c r="AZ21" i="9" a="1"/>
  <c r="K476" i="22"/>
  <c r="T25" i="9" a="1"/>
  <c r="K134" i="5"/>
  <c r="AT36" i="9" a="1"/>
  <c r="E36" i="9" a="1"/>
  <c r="Q36" i="9" a="1"/>
  <c r="AR32" i="9" a="1"/>
  <c r="M28" i="9" a="1"/>
  <c r="BE35" i="9" a="1"/>
  <c r="X31" i="9" a="1"/>
  <c r="V28" i="9" a="1"/>
  <c r="BS34" i="9" a="1"/>
  <c r="BN30" i="9" a="1"/>
  <c r="BB23" i="9" a="1"/>
  <c r="BT34" i="9" a="1"/>
  <c r="Y30" i="9" a="1"/>
  <c r="BT23" i="9" a="1"/>
  <c r="AY33" i="9" a="1"/>
  <c r="AD31" i="9" a="1"/>
  <c r="BO28" i="9" a="1"/>
  <c r="F35" i="9" a="1"/>
  <c r="R33" i="9" a="1"/>
  <c r="BU30" i="9" a="1"/>
  <c r="AU26" i="9" a="1"/>
  <c r="BX34" i="9" a="1"/>
  <c r="CK32" i="9" a="1"/>
  <c r="CI29" i="9" a="1"/>
  <c r="CQ27" i="9" a="1"/>
  <c r="CR28" i="9" a="1"/>
  <c r="AP27" i="9" a="1"/>
  <c r="BP21" i="9" a="1"/>
  <c r="AF20" i="9" a="1"/>
  <c r="CA21" i="9" a="1"/>
  <c r="AK28" i="9" a="1"/>
  <c r="K25" i="9" a="1"/>
  <c r="CL25" i="9" a="1"/>
  <c r="BN21" i="9" a="1"/>
  <c r="K666" i="22"/>
  <c r="BO20" i="9" a="1"/>
  <c r="K362" i="22"/>
  <c r="E25" i="9" a="1"/>
  <c r="BN24" i="9" a="1"/>
  <c r="AK27" i="9" a="1"/>
  <c r="AN21" i="9" a="1"/>
  <c r="K552" i="14"/>
  <c r="BM20" i="9" a="1"/>
  <c r="K286" i="15"/>
  <c r="U27" i="9" a="1"/>
  <c r="AM27" i="9" a="1"/>
  <c r="Z22" i="9" a="1"/>
  <c r="CE21" i="9" a="1"/>
  <c r="K324" i="14"/>
  <c r="O24" i="9" a="1"/>
  <c r="CH30" i="9" a="1"/>
  <c r="L27" i="9" a="1"/>
  <c r="AE27" i="9" a="1"/>
  <c r="P22" i="9" a="1"/>
  <c r="CN20" i="9" a="1"/>
  <c r="K1768" i="22"/>
  <c r="CJ20" i="9" a="1"/>
  <c r="F27" i="9" a="1"/>
  <c r="T26" i="9" a="1"/>
  <c r="BH27" i="9" a="1"/>
  <c r="CK22" i="9" a="1"/>
  <c r="M21" i="9" a="1"/>
  <c r="AY20" i="9" a="1"/>
  <c r="K20" i="22"/>
  <c r="BW25" i="9" a="1"/>
  <c r="AP34" i="9" a="1"/>
  <c r="AY29" i="9" a="1"/>
  <c r="BD26" i="9" a="1"/>
  <c r="BJ26" i="9" a="1"/>
  <c r="BB26" i="9" a="1"/>
  <c r="L26" i="9" a="1"/>
  <c r="BM22" i="9" a="1"/>
  <c r="BJ21" i="9" a="1"/>
  <c r="BH21" i="9" a="1"/>
  <c r="BV36" i="9" a="1"/>
  <c r="CO36" i="9" a="1"/>
  <c r="BP35" i="9" a="1"/>
  <c r="AK31" i="9" a="1"/>
  <c r="CQ26" i="9" a="1"/>
  <c r="N34" i="9" a="1"/>
  <c r="U30" i="9" a="1"/>
  <c r="CI26" i="9" a="1"/>
  <c r="L33" i="9" a="1"/>
  <c r="BB29" i="9" a="1"/>
  <c r="BD25" i="9" a="1"/>
  <c r="BH33" i="9" a="1"/>
  <c r="BO29" i="9" a="1"/>
  <c r="CD25" i="9" a="1"/>
  <c r="CD33" i="9" a="1"/>
  <c r="BH30" i="9" a="1"/>
  <c r="R26" i="9" a="1"/>
  <c r="CH34" i="9" a="1"/>
  <c r="AD32" i="9" a="1"/>
  <c r="M29" i="9" a="1"/>
  <c r="BD27" i="9" a="1"/>
  <c r="BN33" i="9" a="1"/>
  <c r="CG31" i="9" a="1"/>
  <c r="CQ28" i="9" a="1"/>
  <c r="L24" i="9" a="1"/>
  <c r="CA25" i="9" a="1"/>
  <c r="CL23" i="9" a="1"/>
  <c r="BT20" i="9" a="1"/>
  <c r="K96" i="14"/>
  <c r="AG35" i="9" a="1"/>
  <c r="BC24" i="9" a="1"/>
  <c r="AP24" i="9" a="1"/>
  <c r="AL22" i="9" a="1"/>
  <c r="CN21" i="9" a="1"/>
  <c r="AU20" i="9" a="1"/>
  <c r="AX35" i="9" a="1"/>
  <c r="AN35" i="9" a="1"/>
  <c r="E24" i="9" a="1"/>
  <c r="U26" i="9" a="1"/>
  <c r="BZ22" i="9" a="1"/>
  <c r="AY21" i="9" a="1"/>
  <c r="BE20" i="9" a="1"/>
  <c r="CC31" i="9" a="1"/>
  <c r="M32" i="9" a="1"/>
  <c r="BS24" i="9" a="1"/>
  <c r="M26" i="9" a="1"/>
  <c r="BJ22" i="9" a="1"/>
  <c r="K210" i="14"/>
  <c r="BH20" i="9" a="1"/>
  <c r="BM21" i="9" a="1"/>
  <c r="BK23" i="9" a="1"/>
  <c r="CM26" i="9" a="1"/>
  <c r="BT24" i="9" a="1"/>
  <c r="BO21" i="9" a="1"/>
  <c r="CE20" i="9" a="1"/>
  <c r="K1312" i="22"/>
  <c r="AU35" i="9" a="1"/>
  <c r="BH24" i="9" a="1"/>
  <c r="BY27" i="9" a="1"/>
  <c r="AR26" i="9" a="1"/>
  <c r="AX22" i="9" a="1"/>
  <c r="CD21" i="9" a="1"/>
  <c r="K628" i="22"/>
  <c r="AG20" i="9" a="1"/>
  <c r="I22" i="9" a="1"/>
  <c r="CH33" i="9" a="1"/>
  <c r="AR27" i="9" a="1"/>
  <c r="BV25" i="9" a="1"/>
  <c r="BN25" i="9" a="1"/>
  <c r="BF25" i="9" a="1"/>
  <c r="AX25" i="9" a="1"/>
  <c r="BD22" i="9" a="1"/>
  <c r="BZ21" i="9" a="1"/>
  <c r="S21" i="9" a="1"/>
  <c r="AC36" i="9" a="1"/>
  <c r="AN36" i="9" a="1"/>
  <c r="R34" i="9" a="1"/>
  <c r="K31" i="9" a="1"/>
  <c r="AH25" i="9" a="1"/>
  <c r="BB34" i="9" a="1"/>
  <c r="CQ30" i="9" a="1"/>
  <c r="CM25" i="9" a="1"/>
  <c r="CQ33" i="9" a="1"/>
  <c r="T29" i="9" a="1"/>
  <c r="AK24" i="9" a="1"/>
  <c r="AJ33" i="9" a="1"/>
  <c r="AA29" i="9" a="1"/>
  <c r="I23" i="9" a="1"/>
  <c r="CE32" i="9" a="1"/>
  <c r="AM29" i="9" a="1"/>
  <c r="H23" i="9" a="1"/>
  <c r="H34" i="9" a="1"/>
  <c r="BB31" i="9" a="1"/>
  <c r="BZ29" i="9" a="1"/>
  <c r="CI24" i="9" a="1"/>
  <c r="BC33" i="9" a="1"/>
  <c r="T30" i="9" a="1"/>
  <c r="CC28" i="9" a="1"/>
  <c r="AT26" i="9" a="1"/>
  <c r="BJ23" i="9" a="1"/>
  <c r="CQ22" i="9" a="1"/>
  <c r="K324" i="22"/>
  <c r="CB20" i="9" a="1"/>
  <c r="M35" i="9" a="1"/>
  <c r="BQ24" i="9" a="1"/>
  <c r="BA26" i="9" a="1"/>
  <c r="AU22" i="9" a="1"/>
  <c r="AD21" i="9" a="1"/>
  <c r="AJ20" i="9" a="1"/>
  <c r="BN31" i="9" a="1"/>
  <c r="AU34" i="9" a="1"/>
  <c r="AI26" i="9" a="1"/>
  <c r="BS26" i="9" a="1"/>
  <c r="AB22" i="9" a="1"/>
  <c r="W21" i="9" a="1"/>
  <c r="BW20" i="9" a="1"/>
  <c r="AO24" i="9" a="1"/>
  <c r="AB32" i="9" a="1"/>
  <c r="AK23" i="9" a="1"/>
  <c r="BI23" i="9" a="1"/>
  <c r="Y22" i="9" a="1"/>
  <c r="BK20" i="9" a="1"/>
  <c r="BN20" i="9" a="1"/>
  <c r="K172" i="18"/>
  <c r="AS23" i="9" a="1"/>
  <c r="CR23" i="9" a="1"/>
  <c r="AN22" i="9" a="1"/>
  <c r="AE36" i="9" a="1"/>
  <c r="CM30" i="9" a="1"/>
  <c r="CC35" i="9" a="1"/>
  <c r="Z27" i="9" a="1"/>
  <c r="AJ21" i="9" a="1"/>
  <c r="CC20" i="9" a="1"/>
  <c r="AG22" i="9" a="1"/>
  <c r="K1844" i="22"/>
  <c r="BE24" i="9" a="1"/>
  <c r="CQ20" i="9" a="1"/>
  <c r="AZ25" i="9" a="1"/>
  <c r="BR22" i="9" a="1"/>
  <c r="BG34" i="9" a="1"/>
  <c r="L25" i="9" a="1"/>
  <c r="AF31" i="9" a="1"/>
  <c r="CK21" i="9" a="1"/>
  <c r="CA32" i="9" a="1"/>
  <c r="AD22" i="9" a="1"/>
  <c r="CL35" i="9" a="1"/>
  <c r="CG24" i="9" a="1"/>
  <c r="BR32" i="9" a="1"/>
  <c r="BW26" i="9" a="1"/>
  <c r="K58" i="5"/>
  <c r="BJ20" i="9" a="1"/>
  <c r="AQ28" i="9" a="1"/>
  <c r="I32" i="9" a="1"/>
  <c r="U25" i="9" a="1"/>
  <c r="CH20" i="9" a="1"/>
  <c r="CR25" i="9" a="1"/>
  <c r="AW22" i="9" a="1"/>
  <c r="CO21" i="9" a="1"/>
  <c r="BE21" i="9" a="1"/>
  <c r="AW33" i="9" a="1"/>
  <c r="H27" i="9" a="1"/>
  <c r="Y20" i="9" a="1"/>
  <c r="BZ23" i="9" a="1"/>
  <c r="BE31" i="9" a="1"/>
  <c r="CE33" i="9" a="1"/>
  <c r="AQ29" i="9" a="1"/>
  <c r="V21" i="9" a="1"/>
  <c r="AL20" i="9" a="1"/>
  <c r="CO34" i="9" a="1"/>
  <c r="CB25" i="9" a="1"/>
  <c r="BA20" i="9" a="1"/>
  <c r="BX22" i="9" a="1"/>
  <c r="P24" i="9" a="1"/>
  <c r="P25" i="9" a="1"/>
  <c r="AM21" i="9" a="1"/>
  <c r="CJ26" i="9" a="1"/>
  <c r="BT25" i="9" a="1"/>
  <c r="AR34" i="9" a="1"/>
  <c r="AV21" i="9" a="1"/>
  <c r="CG23" i="9" a="1"/>
  <c r="CP21" i="9" a="1"/>
  <c r="BA27" i="9" a="1"/>
  <c r="L21" i="9" a="1"/>
  <c r="CR26" i="9" a="1"/>
  <c r="AP25" i="9" a="1"/>
  <c r="BB28" i="9" a="1"/>
  <c r="AK30" i="9" a="1"/>
  <c r="AK26" i="9" a="1"/>
  <c r="CF20" i="9" a="1"/>
  <c r="K286" i="22"/>
  <c r="BS22" i="9" a="1"/>
  <c r="G26" i="9" a="1"/>
  <c r="AT23" i="9" a="1"/>
  <c r="J31" i="9" a="1"/>
  <c r="BV22" i="9" a="1"/>
  <c r="CK26" i="9" a="1"/>
  <c r="K1730" i="22"/>
  <c r="AE34" i="9" a="1"/>
  <c r="M20" i="9" a="1"/>
  <c r="J20" i="9" a="1"/>
  <c r="T34" i="9" a="1"/>
  <c r="T23" i="9" a="1"/>
  <c r="F34" i="9" a="1"/>
  <c r="K818" i="22"/>
  <c r="BC26" i="9" a="1"/>
  <c r="CA23" i="9" a="1"/>
  <c r="J30" i="9" a="1"/>
  <c r="BW28" i="9" a="1"/>
  <c r="AN23" i="9" a="1"/>
  <c r="CM22" i="9" a="1"/>
  <c r="BQ21" i="9" a="1"/>
  <c r="K1426" i="22"/>
  <c r="AK25" i="9" a="1"/>
  <c r="K58" i="13"/>
  <c r="X28" i="9" a="1"/>
  <c r="H25" i="9" a="1"/>
  <c r="BE36" i="9" a="1"/>
  <c r="AV27" i="9" a="1"/>
  <c r="AL21" i="9" a="1"/>
  <c r="AQ20" i="9" a="1"/>
  <c r="CA24" i="9" a="1"/>
  <c r="AJ27" i="9" a="1"/>
  <c r="AI61" i="9" l="1"/>
  <c r="AB61" i="9"/>
  <c r="AR61" i="9"/>
  <c r="AT61" i="9"/>
  <c r="AM61" i="9"/>
  <c r="L61" i="9"/>
  <c r="AK61" i="9"/>
  <c r="V61" i="9"/>
  <c r="K61" i="9"/>
  <c r="AQ61" i="9"/>
  <c r="I61" i="9"/>
  <c r="AO61" i="9"/>
  <c r="Z61" i="9"/>
  <c r="O61" i="9"/>
  <c r="AU61" i="9"/>
  <c r="N61" i="9"/>
  <c r="AG61" i="9"/>
  <c r="K14" i="21"/>
  <c r="M61" i="9"/>
  <c r="AS61" i="9"/>
  <c r="AD61" i="9"/>
  <c r="S61" i="9"/>
  <c r="X61" i="9"/>
  <c r="R61" i="9"/>
  <c r="AV61" i="9"/>
  <c r="Q61" i="9"/>
  <c r="AW61" i="9"/>
  <c r="AH61" i="9"/>
  <c r="W61" i="9"/>
  <c r="H61" i="9"/>
  <c r="AC61" i="9"/>
  <c r="AN61" i="9"/>
  <c r="G61" i="9"/>
  <c r="AF61" i="9"/>
  <c r="U61" i="9"/>
  <c r="F61" i="9"/>
  <c r="AL61" i="9"/>
  <c r="AA61" i="9"/>
  <c r="AJ61" i="9"/>
  <c r="E61" i="9"/>
  <c r="P61" i="9"/>
  <c r="Y61" i="9"/>
  <c r="J61" i="9"/>
  <c r="AP61" i="9"/>
  <c r="AE61" i="9"/>
  <c r="T61" i="9"/>
  <c r="AB36" i="9"/>
  <c r="X36" i="9"/>
  <c r="Q36" i="9"/>
  <c r="BH36" i="9"/>
  <c r="AS36" i="9"/>
  <c r="BY36" i="9"/>
  <c r="R36" i="9"/>
  <c r="AX36" i="9"/>
  <c r="CD36" i="9"/>
  <c r="W36" i="9"/>
  <c r="BC36" i="9"/>
  <c r="CJ36" i="9"/>
  <c r="AZ36" i="9"/>
  <c r="F36" i="9"/>
  <c r="K36" i="9"/>
  <c r="AJ36" i="9"/>
  <c r="AF36" i="9"/>
  <c r="Y36" i="9"/>
  <c r="BX36" i="9"/>
  <c r="BA36" i="9"/>
  <c r="CC36" i="9"/>
  <c r="V36" i="9"/>
  <c r="BB36" i="9"/>
  <c r="CI36" i="9"/>
  <c r="AA36" i="9"/>
  <c r="BG36" i="9"/>
  <c r="CN36" i="9"/>
  <c r="L36" i="9"/>
  <c r="AN36" i="9"/>
  <c r="AG36" i="9"/>
  <c r="CO36" i="9"/>
  <c r="BL36" i="9"/>
  <c r="CH36" i="9"/>
  <c r="Z36" i="9"/>
  <c r="BF36" i="9"/>
  <c r="CM36" i="9"/>
  <c r="AE36" i="9"/>
  <c r="BK36" i="9"/>
  <c r="CR36" i="9"/>
  <c r="U36" i="9"/>
  <c r="AQ36" i="9"/>
  <c r="AR36" i="9"/>
  <c r="AV36" i="9"/>
  <c r="AO36" i="9"/>
  <c r="E36" i="9"/>
  <c r="CB36" i="9"/>
  <c r="CL36" i="9"/>
  <c r="AD36" i="9"/>
  <c r="BJ36" i="9"/>
  <c r="CQ36" i="9"/>
  <c r="AI36" i="9"/>
  <c r="BO36" i="9"/>
  <c r="BM36" i="9"/>
  <c r="BW36" i="9"/>
  <c r="T36" i="9"/>
  <c r="BD36" i="9"/>
  <c r="AW36" i="9"/>
  <c r="M36" i="9"/>
  <c r="BI36" i="9"/>
  <c r="CP36" i="9"/>
  <c r="AH36" i="9"/>
  <c r="BN36" i="9"/>
  <c r="G36" i="9"/>
  <c r="AM36" i="9"/>
  <c r="BS36" i="9"/>
  <c r="BP36" i="9"/>
  <c r="AL36" i="9"/>
  <c r="H36" i="9"/>
  <c r="CF36" i="9"/>
  <c r="BT36" i="9"/>
  <c r="AC36" i="9"/>
  <c r="BQ36" i="9"/>
  <c r="J36" i="9"/>
  <c r="AP36" i="9"/>
  <c r="BV36" i="9"/>
  <c r="O36" i="9"/>
  <c r="AU36" i="9"/>
  <c r="CA36" i="9"/>
  <c r="BE36" i="9"/>
  <c r="BR36" i="9"/>
  <c r="P36" i="9"/>
  <c r="I36" i="9"/>
  <c r="CK36" i="9"/>
  <c r="AK36" i="9"/>
  <c r="BU36" i="9"/>
  <c r="N36" i="9"/>
  <c r="AT36" i="9"/>
  <c r="BZ36" i="9"/>
  <c r="S36" i="9"/>
  <c r="AY36" i="9"/>
  <c r="CE36" i="9"/>
  <c r="CG36" i="9"/>
  <c r="DC19" i="19" s="1"/>
  <c r="G35" i="9"/>
  <c r="AA35" i="9"/>
  <c r="CN35" i="9"/>
  <c r="BP35" i="9"/>
  <c r="AN35" i="9"/>
  <c r="I35" i="9"/>
  <c r="AO35" i="9"/>
  <c r="BU35" i="9"/>
  <c r="N35" i="9"/>
  <c r="AT35" i="9"/>
  <c r="BZ35" i="9"/>
  <c r="CG35" i="9"/>
  <c r="DC18" i="19" s="1"/>
  <c r="M35" i="9"/>
  <c r="CD35" i="9"/>
  <c r="W35" i="9"/>
  <c r="BS35" i="9"/>
  <c r="AQ35" i="9"/>
  <c r="T35" i="9"/>
  <c r="CF35" i="9"/>
  <c r="BD35" i="9"/>
  <c r="Q35" i="9"/>
  <c r="AW35" i="9"/>
  <c r="CC35" i="9"/>
  <c r="V35" i="9"/>
  <c r="BB35" i="9"/>
  <c r="CI35" i="9"/>
  <c r="AM35" i="9"/>
  <c r="AV35" i="9"/>
  <c r="AX35" i="9"/>
  <c r="BC35" i="9"/>
  <c r="O35" i="9"/>
  <c r="AY35" i="9"/>
  <c r="AB35" i="9"/>
  <c r="CO35" i="9"/>
  <c r="BL35" i="9"/>
  <c r="U35" i="9"/>
  <c r="BA35" i="9"/>
  <c r="CH35" i="9"/>
  <c r="Z35" i="9"/>
  <c r="BF35" i="9"/>
  <c r="CM35" i="9"/>
  <c r="L35" i="9"/>
  <c r="R35" i="9"/>
  <c r="CJ35" i="9"/>
  <c r="AU35" i="9"/>
  <c r="BG35" i="9"/>
  <c r="AJ35" i="9"/>
  <c r="H35" i="9"/>
  <c r="BT35" i="9"/>
  <c r="Y35" i="9"/>
  <c r="BE35" i="9"/>
  <c r="CL35" i="9"/>
  <c r="AD35" i="9"/>
  <c r="BJ35" i="9"/>
  <c r="CQ35" i="9"/>
  <c r="AI35" i="9"/>
  <c r="BX35" i="9"/>
  <c r="BY35" i="9"/>
  <c r="AE35" i="9"/>
  <c r="CA35" i="9"/>
  <c r="BO35" i="9"/>
  <c r="AR35" i="9"/>
  <c r="P35" i="9"/>
  <c r="CB35" i="9"/>
  <c r="AC35" i="9"/>
  <c r="BI35" i="9"/>
  <c r="CP35" i="9"/>
  <c r="AH35" i="9"/>
  <c r="BN35" i="9"/>
  <c r="AS35" i="9"/>
  <c r="BK35" i="9"/>
  <c r="K35" i="9"/>
  <c r="BW35" i="9"/>
  <c r="AZ35" i="9"/>
  <c r="X35" i="9"/>
  <c r="CK35" i="9"/>
  <c r="AG35" i="9"/>
  <c r="BM35" i="9"/>
  <c r="F35" i="9"/>
  <c r="AL35" i="9"/>
  <c r="BR35" i="9"/>
  <c r="CR35" i="9"/>
  <c r="S35" i="9"/>
  <c r="CE35" i="9"/>
  <c r="BH35" i="9"/>
  <c r="AF35" i="9"/>
  <c r="E35" i="9"/>
  <c r="AK35" i="9"/>
  <c r="BQ35" i="9"/>
  <c r="J35" i="9"/>
  <c r="AP35" i="9"/>
  <c r="BV35" i="9"/>
  <c r="BG34" i="9"/>
  <c r="CL34" i="9"/>
  <c r="CD34" i="9"/>
  <c r="BV34" i="9"/>
  <c r="BJ34" i="9"/>
  <c r="AE34" i="9"/>
  <c r="CR34" i="9"/>
  <c r="BO34" i="9"/>
  <c r="X34" i="9"/>
  <c r="BD34" i="9"/>
  <c r="CK34" i="9"/>
  <c r="AC34" i="9"/>
  <c r="BI34" i="9"/>
  <c r="CP34" i="9"/>
  <c r="BB34" i="9"/>
  <c r="Y34" i="9"/>
  <c r="Z34" i="9"/>
  <c r="F34" i="9"/>
  <c r="BR34" i="9"/>
  <c r="AM34" i="9"/>
  <c r="K34" i="9"/>
  <c r="BW34" i="9"/>
  <c r="AB34" i="9"/>
  <c r="BH34" i="9"/>
  <c r="CO34" i="9"/>
  <c r="AG34" i="9"/>
  <c r="BM34" i="9"/>
  <c r="CJ34" i="9"/>
  <c r="BE34" i="9"/>
  <c r="BF34" i="9"/>
  <c r="N34" i="9"/>
  <c r="BZ34" i="9"/>
  <c r="AU34" i="9"/>
  <c r="S34" i="9"/>
  <c r="CE34" i="9"/>
  <c r="AF34" i="9"/>
  <c r="BL34" i="9"/>
  <c r="E34" i="9"/>
  <c r="AK34" i="9"/>
  <c r="BQ34" i="9"/>
  <c r="CM34" i="9"/>
  <c r="V34" i="9"/>
  <c r="CI34" i="9"/>
  <c r="BC34" i="9"/>
  <c r="AA34" i="9"/>
  <c r="CN34" i="9"/>
  <c r="AJ34" i="9"/>
  <c r="BP34" i="9"/>
  <c r="I34" i="9"/>
  <c r="AO34" i="9"/>
  <c r="BU34" i="9"/>
  <c r="W34" i="9"/>
  <c r="CF34" i="9"/>
  <c r="AH34" i="9"/>
  <c r="AD34" i="9"/>
  <c r="CQ34" i="9"/>
  <c r="BK34" i="9"/>
  <c r="AI34" i="9"/>
  <c r="H34" i="9"/>
  <c r="AN34" i="9"/>
  <c r="BT34" i="9"/>
  <c r="M34" i="9"/>
  <c r="AS34" i="9"/>
  <c r="BY34" i="9"/>
  <c r="AP34" i="9"/>
  <c r="AZ34" i="9"/>
  <c r="BN34" i="9"/>
  <c r="AL34" i="9"/>
  <c r="G34" i="9"/>
  <c r="BS34" i="9"/>
  <c r="AQ34" i="9"/>
  <c r="L34" i="9"/>
  <c r="AR34" i="9"/>
  <c r="BX34" i="9"/>
  <c r="Q34" i="9"/>
  <c r="AW34" i="9"/>
  <c r="CC34" i="9"/>
  <c r="AX34" i="9"/>
  <c r="T34" i="9"/>
  <c r="R34" i="9"/>
  <c r="J34" i="9"/>
  <c r="AT34" i="9"/>
  <c r="O34" i="9"/>
  <c r="CA34" i="9"/>
  <c r="AY34" i="9"/>
  <c r="P34" i="9"/>
  <c r="AV34" i="9"/>
  <c r="CB34" i="9"/>
  <c r="U34" i="9"/>
  <c r="BA34" i="9"/>
  <c r="CH34" i="9"/>
  <c r="CG34" i="9"/>
  <c r="DC17" i="19" s="1"/>
  <c r="CL33" i="9"/>
  <c r="AB33" i="9"/>
  <c r="BA33" i="9"/>
  <c r="CI33" i="9"/>
  <c r="N33" i="9"/>
  <c r="AG33" i="9"/>
  <c r="R33" i="9"/>
  <c r="CD33" i="9"/>
  <c r="AA33" i="9"/>
  <c r="BG33" i="9"/>
  <c r="CN33" i="9"/>
  <c r="AF33" i="9"/>
  <c r="BL33" i="9"/>
  <c r="CG33" i="9"/>
  <c r="DC16" i="19" s="1"/>
  <c r="W33" i="9"/>
  <c r="BQ33" i="9"/>
  <c r="M33" i="9"/>
  <c r="AD33" i="9"/>
  <c r="AO33" i="9"/>
  <c r="Z33" i="9"/>
  <c r="CM33" i="9"/>
  <c r="AE33" i="9"/>
  <c r="BK33" i="9"/>
  <c r="CR33" i="9"/>
  <c r="AJ33" i="9"/>
  <c r="BP33" i="9"/>
  <c r="AK33" i="9"/>
  <c r="CJ33" i="9"/>
  <c r="CH33" i="9"/>
  <c r="AC33" i="9"/>
  <c r="AT33" i="9"/>
  <c r="AW33" i="9"/>
  <c r="AH33" i="9"/>
  <c r="CQ33" i="9"/>
  <c r="AI33" i="9"/>
  <c r="BO33" i="9"/>
  <c r="H33" i="9"/>
  <c r="AN33" i="9"/>
  <c r="BT33" i="9"/>
  <c r="Y33" i="9"/>
  <c r="BH33" i="9"/>
  <c r="J33" i="9"/>
  <c r="AS33" i="9"/>
  <c r="BJ33" i="9"/>
  <c r="BE33" i="9"/>
  <c r="AP33" i="9"/>
  <c r="G33" i="9"/>
  <c r="AM33" i="9"/>
  <c r="BS33" i="9"/>
  <c r="L33" i="9"/>
  <c r="AR33" i="9"/>
  <c r="BX33" i="9"/>
  <c r="BR33" i="9"/>
  <c r="BC33" i="9"/>
  <c r="V33" i="9"/>
  <c r="BI33" i="9"/>
  <c r="BZ33" i="9"/>
  <c r="BM33" i="9"/>
  <c r="AX33" i="9"/>
  <c r="K33" i="9"/>
  <c r="AQ33" i="9"/>
  <c r="BW33" i="9"/>
  <c r="P33" i="9"/>
  <c r="AV33" i="9"/>
  <c r="CB33" i="9"/>
  <c r="BV33" i="9"/>
  <c r="F33" i="9"/>
  <c r="AL33" i="9"/>
  <c r="BY33" i="9"/>
  <c r="I33" i="9"/>
  <c r="BU33" i="9"/>
  <c r="BF33" i="9"/>
  <c r="O33" i="9"/>
  <c r="AU33" i="9"/>
  <c r="CA33" i="9"/>
  <c r="T33" i="9"/>
  <c r="AZ33" i="9"/>
  <c r="CF33" i="9"/>
  <c r="E33" i="9"/>
  <c r="CO33" i="9"/>
  <c r="U33" i="9"/>
  <c r="BB33" i="9"/>
  <c r="CP33" i="9"/>
  <c r="Q33" i="9"/>
  <c r="CC33" i="9"/>
  <c r="BN33" i="9"/>
  <c r="S33" i="9"/>
  <c r="AY33" i="9"/>
  <c r="CE33" i="9"/>
  <c r="X33" i="9"/>
  <c r="BD33" i="9"/>
  <c r="CK33" i="9"/>
  <c r="U32" i="9"/>
  <c r="CK32" i="9"/>
  <c r="BL32" i="9"/>
  <c r="AO32" i="9"/>
  <c r="T32" i="9"/>
  <c r="CH32" i="9"/>
  <c r="Z32" i="9"/>
  <c r="BF32" i="9"/>
  <c r="CM32" i="9"/>
  <c r="AE32" i="9"/>
  <c r="BK32" i="9"/>
  <c r="CR32" i="9"/>
  <c r="AC32" i="9"/>
  <c r="H32" i="9"/>
  <c r="BT32" i="9"/>
  <c r="AW32" i="9"/>
  <c r="AB32" i="9"/>
  <c r="CF32" i="9"/>
  <c r="AD32" i="9"/>
  <c r="BJ32" i="9"/>
  <c r="CQ32" i="9"/>
  <c r="AI32" i="9"/>
  <c r="BO32" i="9"/>
  <c r="AK32" i="9"/>
  <c r="P32" i="9"/>
  <c r="CB32" i="9"/>
  <c r="BE32" i="9"/>
  <c r="AJ32" i="9"/>
  <c r="CO32" i="9"/>
  <c r="AH32" i="9"/>
  <c r="BN32" i="9"/>
  <c r="G32" i="9"/>
  <c r="AM32" i="9"/>
  <c r="BS32" i="9"/>
  <c r="CG32" i="9"/>
  <c r="DC15" i="19" s="1"/>
  <c r="AS32" i="9"/>
  <c r="X32" i="9"/>
  <c r="CL32" i="9"/>
  <c r="BM32" i="9"/>
  <c r="AR32" i="9"/>
  <c r="F32" i="9"/>
  <c r="AL32" i="9"/>
  <c r="BR32" i="9"/>
  <c r="K32" i="9"/>
  <c r="AQ32" i="9"/>
  <c r="BW32" i="9"/>
  <c r="BA32" i="9"/>
  <c r="AF32" i="9"/>
  <c r="I32" i="9"/>
  <c r="BU32" i="9"/>
  <c r="AZ32" i="9"/>
  <c r="J32" i="9"/>
  <c r="AP32" i="9"/>
  <c r="BV32" i="9"/>
  <c r="O32" i="9"/>
  <c r="AU32" i="9"/>
  <c r="CA32" i="9"/>
  <c r="BI32" i="9"/>
  <c r="AN32" i="9"/>
  <c r="Q32" i="9"/>
  <c r="CC32" i="9"/>
  <c r="BH32" i="9"/>
  <c r="N32" i="9"/>
  <c r="AT32" i="9"/>
  <c r="BZ32" i="9"/>
  <c r="S32" i="9"/>
  <c r="AY32" i="9"/>
  <c r="CE32" i="9"/>
  <c r="E32" i="9"/>
  <c r="BQ32" i="9"/>
  <c r="AV32" i="9"/>
  <c r="Y32" i="9"/>
  <c r="CP32" i="9"/>
  <c r="BP32" i="9"/>
  <c r="R32" i="9"/>
  <c r="AX32" i="9"/>
  <c r="CD32" i="9"/>
  <c r="W32" i="9"/>
  <c r="BC32" i="9"/>
  <c r="CJ32" i="9"/>
  <c r="M32" i="9"/>
  <c r="BY32" i="9"/>
  <c r="BD32" i="9"/>
  <c r="AG32" i="9"/>
  <c r="L32" i="9"/>
  <c r="BX32" i="9"/>
  <c r="V32" i="9"/>
  <c r="BB32" i="9"/>
  <c r="CI32" i="9"/>
  <c r="AA32" i="9"/>
  <c r="BG32" i="9"/>
  <c r="CN32" i="9"/>
  <c r="CA31" i="9"/>
  <c r="CQ31" i="9"/>
  <c r="AF31" i="9"/>
  <c r="K31" i="9"/>
  <c r="BW31" i="9"/>
  <c r="AZ31" i="9"/>
  <c r="W31" i="9"/>
  <c r="CJ31" i="9"/>
  <c r="AC31" i="9"/>
  <c r="BI31" i="9"/>
  <c r="CP31" i="9"/>
  <c r="AH31" i="9"/>
  <c r="BN31" i="9"/>
  <c r="CG31" i="9"/>
  <c r="DC14" i="19" s="1"/>
  <c r="AR31" i="9"/>
  <c r="AD31" i="9"/>
  <c r="AN31" i="9"/>
  <c r="S31" i="9"/>
  <c r="CE31" i="9"/>
  <c r="BH31" i="9"/>
  <c r="AE31" i="9"/>
  <c r="CR31" i="9"/>
  <c r="AG31" i="9"/>
  <c r="BM31" i="9"/>
  <c r="F31" i="9"/>
  <c r="AL31" i="9"/>
  <c r="BR31" i="9"/>
  <c r="BO31" i="9"/>
  <c r="CL31" i="9"/>
  <c r="AV31" i="9"/>
  <c r="AA31" i="9"/>
  <c r="CN31" i="9"/>
  <c r="BP31" i="9"/>
  <c r="AM31" i="9"/>
  <c r="E31" i="9"/>
  <c r="AK31" i="9"/>
  <c r="BQ31" i="9"/>
  <c r="J31" i="9"/>
  <c r="AP31" i="9"/>
  <c r="BV31" i="9"/>
  <c r="O31" i="9"/>
  <c r="BJ31" i="9"/>
  <c r="BD31" i="9"/>
  <c r="AI31" i="9"/>
  <c r="L31" i="9"/>
  <c r="BX31" i="9"/>
  <c r="AU31" i="9"/>
  <c r="I31" i="9"/>
  <c r="AO31" i="9"/>
  <c r="BU31" i="9"/>
  <c r="N31" i="9"/>
  <c r="AT31" i="9"/>
  <c r="BZ31" i="9"/>
  <c r="CK31" i="9"/>
  <c r="Y31" i="9"/>
  <c r="BL31" i="9"/>
  <c r="AQ31" i="9"/>
  <c r="T31" i="9"/>
  <c r="CF31" i="9"/>
  <c r="BC31" i="9"/>
  <c r="M31" i="9"/>
  <c r="AS31" i="9"/>
  <c r="BY31" i="9"/>
  <c r="R31" i="9"/>
  <c r="AX31" i="9"/>
  <c r="CD31" i="9"/>
  <c r="X31" i="9"/>
  <c r="BE31" i="9"/>
  <c r="H31" i="9"/>
  <c r="BT31" i="9"/>
  <c r="AY31" i="9"/>
  <c r="AB31" i="9"/>
  <c r="CO31" i="9"/>
  <c r="BK31" i="9"/>
  <c r="Q31" i="9"/>
  <c r="AW31" i="9"/>
  <c r="CC31" i="9"/>
  <c r="V31" i="9"/>
  <c r="BB31" i="9"/>
  <c r="CI31" i="9"/>
  <c r="P31" i="9"/>
  <c r="CB31" i="9"/>
  <c r="BG31" i="9"/>
  <c r="AJ31" i="9"/>
  <c r="G31" i="9"/>
  <c r="BS31" i="9"/>
  <c r="U31" i="9"/>
  <c r="BA31" i="9"/>
  <c r="CH31" i="9"/>
  <c r="Z31" i="9"/>
  <c r="BF31" i="9"/>
  <c r="CM31" i="9"/>
  <c r="AM30" i="9"/>
  <c r="CO30" i="9"/>
  <c r="CG30" i="9"/>
  <c r="DC13" i="19" s="1"/>
  <c r="AQ30" i="9"/>
  <c r="N30" i="9"/>
  <c r="BZ30" i="9"/>
  <c r="AU30" i="9"/>
  <c r="R30" i="9"/>
  <c r="CD30" i="9"/>
  <c r="AF30" i="9"/>
  <c r="BL30" i="9"/>
  <c r="E30" i="9"/>
  <c r="AK30" i="9"/>
  <c r="BQ30" i="9"/>
  <c r="F30" i="9"/>
  <c r="BV30" i="9"/>
  <c r="AY30" i="9"/>
  <c r="V30" i="9"/>
  <c r="CI30" i="9"/>
  <c r="BC30" i="9"/>
  <c r="Z30" i="9"/>
  <c r="CM30" i="9"/>
  <c r="AJ30" i="9"/>
  <c r="BP30" i="9"/>
  <c r="I30" i="9"/>
  <c r="AO30" i="9"/>
  <c r="BU30" i="9"/>
  <c r="BH30" i="9"/>
  <c r="BG30" i="9"/>
  <c r="AD30" i="9"/>
  <c r="CQ30" i="9"/>
  <c r="BK30" i="9"/>
  <c r="AH30" i="9"/>
  <c r="H30" i="9"/>
  <c r="AN30" i="9"/>
  <c r="BT30" i="9"/>
  <c r="M30" i="9"/>
  <c r="AS30" i="9"/>
  <c r="BY30" i="9"/>
  <c r="BO30" i="9"/>
  <c r="AL30" i="9"/>
  <c r="G30" i="9"/>
  <c r="BS30" i="9"/>
  <c r="AP30" i="9"/>
  <c r="L30" i="9"/>
  <c r="AR30" i="9"/>
  <c r="BX30" i="9"/>
  <c r="Q30" i="9"/>
  <c r="AW30" i="9"/>
  <c r="CC30" i="9"/>
  <c r="AI30" i="9"/>
  <c r="J30" i="9"/>
  <c r="BM30" i="9"/>
  <c r="K30" i="9"/>
  <c r="BW30" i="9"/>
  <c r="AT30" i="9"/>
  <c r="O30" i="9"/>
  <c r="CA30" i="9"/>
  <c r="AX30" i="9"/>
  <c r="P30" i="9"/>
  <c r="AV30" i="9"/>
  <c r="CB30" i="9"/>
  <c r="U30" i="9"/>
  <c r="BA30" i="9"/>
  <c r="CH30" i="9"/>
  <c r="BR30" i="9"/>
  <c r="AG30" i="9"/>
  <c r="S30" i="9"/>
  <c r="CE30" i="9"/>
  <c r="BB30" i="9"/>
  <c r="W30" i="9"/>
  <c r="CJ30" i="9"/>
  <c r="BF30" i="9"/>
  <c r="T30" i="9"/>
  <c r="AZ30" i="9"/>
  <c r="CF30" i="9"/>
  <c r="Y30" i="9"/>
  <c r="BE30" i="9"/>
  <c r="CL30" i="9"/>
  <c r="AB30" i="9"/>
  <c r="AA30" i="9"/>
  <c r="CN30" i="9"/>
  <c r="BJ30" i="9"/>
  <c r="AE30" i="9"/>
  <c r="CR30" i="9"/>
  <c r="BN30" i="9"/>
  <c r="X30" i="9"/>
  <c r="BD30" i="9"/>
  <c r="CK30" i="9"/>
  <c r="AC30" i="9"/>
  <c r="BI30" i="9"/>
  <c r="CP30" i="9"/>
  <c r="AG29" i="9"/>
  <c r="P29" i="9"/>
  <c r="BR29" i="9"/>
  <c r="BA29" i="9"/>
  <c r="CA29" i="9"/>
  <c r="N29" i="9"/>
  <c r="BZ29" i="9"/>
  <c r="AW29" i="9"/>
  <c r="Z29" i="9"/>
  <c r="CM29" i="9"/>
  <c r="BI29" i="9"/>
  <c r="S29" i="9"/>
  <c r="AY29" i="9"/>
  <c r="CE29" i="9"/>
  <c r="X29" i="9"/>
  <c r="BD29" i="9"/>
  <c r="CK29" i="9"/>
  <c r="K29" i="9"/>
  <c r="R29" i="9"/>
  <c r="AZ29" i="9"/>
  <c r="V29" i="9"/>
  <c r="CI29" i="9"/>
  <c r="BE29" i="9"/>
  <c r="AH29" i="9"/>
  <c r="E29" i="9"/>
  <c r="BQ29" i="9"/>
  <c r="W29" i="9"/>
  <c r="BC29" i="9"/>
  <c r="CJ29" i="9"/>
  <c r="AB29" i="9"/>
  <c r="BH29" i="9"/>
  <c r="CO29" i="9"/>
  <c r="BV29" i="9"/>
  <c r="CB29" i="9"/>
  <c r="AD29" i="9"/>
  <c r="CQ29" i="9"/>
  <c r="BM29" i="9"/>
  <c r="AP29" i="9"/>
  <c r="M29" i="9"/>
  <c r="BY29" i="9"/>
  <c r="AA29" i="9"/>
  <c r="BG29" i="9"/>
  <c r="CN29" i="9"/>
  <c r="AF29" i="9"/>
  <c r="BL29" i="9"/>
  <c r="J29" i="9"/>
  <c r="BW29" i="9"/>
  <c r="AO29" i="9"/>
  <c r="O29" i="9"/>
  <c r="T29" i="9"/>
  <c r="AL29" i="9"/>
  <c r="I29" i="9"/>
  <c r="BU29" i="9"/>
  <c r="AX29" i="9"/>
  <c r="U29" i="9"/>
  <c r="CH29" i="9"/>
  <c r="AE29" i="9"/>
  <c r="BK29" i="9"/>
  <c r="CR29" i="9"/>
  <c r="AJ29" i="9"/>
  <c r="BP29" i="9"/>
  <c r="BJ29" i="9"/>
  <c r="AQ29" i="9"/>
  <c r="F29" i="9"/>
  <c r="AU29" i="9"/>
  <c r="AT29" i="9"/>
  <c r="Q29" i="9"/>
  <c r="CC29" i="9"/>
  <c r="BF29" i="9"/>
  <c r="AC29" i="9"/>
  <c r="CP29" i="9"/>
  <c r="AI29" i="9"/>
  <c r="BO29" i="9"/>
  <c r="H29" i="9"/>
  <c r="AN29" i="9"/>
  <c r="BT29" i="9"/>
  <c r="AS29" i="9"/>
  <c r="AV29" i="9"/>
  <c r="CG29" i="9"/>
  <c r="DC12" i="19" s="1"/>
  <c r="CD29" i="9"/>
  <c r="CF29" i="9"/>
  <c r="BB29" i="9"/>
  <c r="Y29" i="9"/>
  <c r="CL29" i="9"/>
  <c r="BN29" i="9"/>
  <c r="AK29" i="9"/>
  <c r="G29" i="9"/>
  <c r="AM29" i="9"/>
  <c r="BS29" i="9"/>
  <c r="L29" i="9"/>
  <c r="AR29" i="9"/>
  <c r="BX29" i="9"/>
  <c r="Q28" i="9"/>
  <c r="CC28" i="9"/>
  <c r="BH28" i="9"/>
  <c r="AC28" i="9"/>
  <c r="CP28" i="9"/>
  <c r="BL28" i="9"/>
  <c r="V28" i="9"/>
  <c r="BB28" i="9"/>
  <c r="CI28" i="9"/>
  <c r="AA28" i="9"/>
  <c r="BG28" i="9"/>
  <c r="CN28" i="9"/>
  <c r="CG28" i="9"/>
  <c r="DC11" i="19" s="1"/>
  <c r="Y28" i="9"/>
  <c r="CL28" i="9"/>
  <c r="BP28" i="9"/>
  <c r="AK28" i="9"/>
  <c r="H28" i="9"/>
  <c r="BT28" i="9"/>
  <c r="Z28" i="9"/>
  <c r="BF28" i="9"/>
  <c r="CM28" i="9"/>
  <c r="AE28" i="9"/>
  <c r="BK28" i="9"/>
  <c r="CR28" i="9"/>
  <c r="AG28" i="9"/>
  <c r="L28" i="9"/>
  <c r="BX28" i="9"/>
  <c r="AS28" i="9"/>
  <c r="P28" i="9"/>
  <c r="CB28" i="9"/>
  <c r="AD28" i="9"/>
  <c r="BJ28" i="9"/>
  <c r="CQ28" i="9"/>
  <c r="AI28" i="9"/>
  <c r="BO28" i="9"/>
  <c r="AO28" i="9"/>
  <c r="T28" i="9"/>
  <c r="CF28" i="9"/>
  <c r="BA28" i="9"/>
  <c r="X28" i="9"/>
  <c r="CK28" i="9"/>
  <c r="AH28" i="9"/>
  <c r="BN28" i="9"/>
  <c r="G28" i="9"/>
  <c r="AM28" i="9"/>
  <c r="BS28" i="9"/>
  <c r="AW28" i="9"/>
  <c r="AB28" i="9"/>
  <c r="CO28" i="9"/>
  <c r="BI28" i="9"/>
  <c r="AF28" i="9"/>
  <c r="F28" i="9"/>
  <c r="AL28" i="9"/>
  <c r="BR28" i="9"/>
  <c r="K28" i="9"/>
  <c r="AQ28" i="9"/>
  <c r="BW28" i="9"/>
  <c r="BE28" i="9"/>
  <c r="AJ28" i="9"/>
  <c r="E28" i="9"/>
  <c r="BQ28" i="9"/>
  <c r="AN28" i="9"/>
  <c r="J28" i="9"/>
  <c r="AP28" i="9"/>
  <c r="BV28" i="9"/>
  <c r="O28" i="9"/>
  <c r="AU28" i="9"/>
  <c r="CA28" i="9"/>
  <c r="BM28" i="9"/>
  <c r="AR28" i="9"/>
  <c r="M28" i="9"/>
  <c r="BY28" i="9"/>
  <c r="AV28" i="9"/>
  <c r="N28" i="9"/>
  <c r="AT28" i="9"/>
  <c r="BZ28" i="9"/>
  <c r="S28" i="9"/>
  <c r="AY28" i="9"/>
  <c r="CE28" i="9"/>
  <c r="I28" i="9"/>
  <c r="BU28" i="9"/>
  <c r="AZ28" i="9"/>
  <c r="U28" i="9"/>
  <c r="CH28" i="9"/>
  <c r="BD28" i="9"/>
  <c r="R28" i="9"/>
  <c r="AX28" i="9"/>
  <c r="CD28" i="9"/>
  <c r="W28" i="9"/>
  <c r="BC28" i="9"/>
  <c r="CJ28" i="9"/>
  <c r="AE25" i="9"/>
  <c r="BC26" i="9"/>
  <c r="BT26" i="9"/>
  <c r="BT24" i="9"/>
  <c r="G24" i="9"/>
  <c r="AK27" i="9"/>
  <c r="BO23" i="9"/>
  <c r="CL23" i="9"/>
  <c r="CG27" i="9"/>
  <c r="DC10" i="19" s="1"/>
  <c r="AX25" i="9"/>
  <c r="U25" i="9"/>
  <c r="CH25" i="9"/>
  <c r="BB25" i="9"/>
  <c r="Y25" i="9"/>
  <c r="CL25" i="9"/>
  <c r="AI25" i="9"/>
  <c r="BO25" i="9"/>
  <c r="H25" i="9"/>
  <c r="AN25" i="9"/>
  <c r="BT25" i="9"/>
  <c r="BK26" i="9"/>
  <c r="AH26" i="9"/>
  <c r="K26" i="9"/>
  <c r="BW26" i="9"/>
  <c r="AT26" i="9"/>
  <c r="L26" i="9"/>
  <c r="AR26" i="9"/>
  <c r="BX26" i="9"/>
  <c r="Q26" i="9"/>
  <c r="AW26" i="9"/>
  <c r="CC26" i="9"/>
  <c r="AS24" i="9"/>
  <c r="P24" i="9"/>
  <c r="CB24" i="9"/>
  <c r="BE24" i="9"/>
  <c r="AJ24" i="9"/>
  <c r="F24" i="9"/>
  <c r="AL24" i="9"/>
  <c r="BR24" i="9"/>
  <c r="K24" i="9"/>
  <c r="AQ24" i="9"/>
  <c r="BW24" i="9"/>
  <c r="BH27" i="9"/>
  <c r="AE27" i="9"/>
  <c r="CR27" i="9"/>
  <c r="BL27" i="9"/>
  <c r="AQ27" i="9"/>
  <c r="I27" i="9"/>
  <c r="AO27" i="9"/>
  <c r="BU27" i="9"/>
  <c r="N27" i="9"/>
  <c r="AT27" i="9"/>
  <c r="BZ27" i="9"/>
  <c r="AF23" i="9"/>
  <c r="K23" i="9"/>
  <c r="BW23" i="9"/>
  <c r="AZ23" i="9"/>
  <c r="W23" i="9"/>
  <c r="CJ23" i="9"/>
  <c r="AC23" i="9"/>
  <c r="BI23" i="9"/>
  <c r="CP23" i="9"/>
  <c r="AH23" i="9"/>
  <c r="BN23" i="9"/>
  <c r="CG26" i="9"/>
  <c r="DC9" i="19" s="1"/>
  <c r="AP25" i="9"/>
  <c r="BK25" i="9"/>
  <c r="Z26" i="9"/>
  <c r="M26" i="9"/>
  <c r="H24" i="9"/>
  <c r="CJ27" i="9"/>
  <c r="AP27" i="9"/>
  <c r="Y23" i="9"/>
  <c r="BF25" i="9"/>
  <c r="AC25" i="9"/>
  <c r="CP25" i="9"/>
  <c r="BJ25" i="9"/>
  <c r="AG25" i="9"/>
  <c r="G25" i="9"/>
  <c r="AM25" i="9"/>
  <c r="BS25" i="9"/>
  <c r="L25" i="9"/>
  <c r="AR25" i="9"/>
  <c r="BX25" i="9"/>
  <c r="G26" i="9"/>
  <c r="BS26" i="9"/>
  <c r="AP26" i="9"/>
  <c r="S26" i="9"/>
  <c r="CE26" i="9"/>
  <c r="BB26" i="9"/>
  <c r="P26" i="9"/>
  <c r="AV26" i="9"/>
  <c r="CB26" i="9"/>
  <c r="U26" i="9"/>
  <c r="BA26" i="9"/>
  <c r="CH26" i="9"/>
  <c r="BA24" i="9"/>
  <c r="X24" i="9"/>
  <c r="CK24" i="9"/>
  <c r="BM24" i="9"/>
  <c r="AR24" i="9"/>
  <c r="J24" i="9"/>
  <c r="AP24" i="9"/>
  <c r="BV24" i="9"/>
  <c r="O24" i="9"/>
  <c r="AU24" i="9"/>
  <c r="CA24" i="9"/>
  <c r="BP27" i="9"/>
  <c r="AM27" i="9"/>
  <c r="H27" i="9"/>
  <c r="BT27" i="9"/>
  <c r="AY27" i="9"/>
  <c r="M27" i="9"/>
  <c r="AS27" i="9"/>
  <c r="BY27" i="9"/>
  <c r="R27" i="9"/>
  <c r="AX27" i="9"/>
  <c r="CD27" i="9"/>
  <c r="AN23" i="9"/>
  <c r="S23" i="9"/>
  <c r="CE23" i="9"/>
  <c r="BH23" i="9"/>
  <c r="AE23" i="9"/>
  <c r="CR23" i="9"/>
  <c r="AG23" i="9"/>
  <c r="BM23" i="9"/>
  <c r="F23" i="9"/>
  <c r="AL23" i="9"/>
  <c r="BR23" i="9"/>
  <c r="CG23" i="9"/>
  <c r="DC6" i="19" s="1"/>
  <c r="CC25" i="9"/>
  <c r="CM26" i="9"/>
  <c r="BY26" i="9"/>
  <c r="BN24" i="9"/>
  <c r="AI27" i="9"/>
  <c r="CK23" i="9"/>
  <c r="BE23" i="9"/>
  <c r="BN25" i="9"/>
  <c r="AK25" i="9"/>
  <c r="F25" i="9"/>
  <c r="BR25" i="9"/>
  <c r="AO25" i="9"/>
  <c r="K25" i="9"/>
  <c r="AQ25" i="9"/>
  <c r="BW25" i="9"/>
  <c r="P25" i="9"/>
  <c r="AV25" i="9"/>
  <c r="CB25" i="9"/>
  <c r="O26" i="9"/>
  <c r="CA26" i="9"/>
  <c r="AX26" i="9"/>
  <c r="AA26" i="9"/>
  <c r="CN26" i="9"/>
  <c r="BJ26" i="9"/>
  <c r="T26" i="9"/>
  <c r="AZ26" i="9"/>
  <c r="CF26" i="9"/>
  <c r="Y26" i="9"/>
  <c r="BE26" i="9"/>
  <c r="CL26" i="9"/>
  <c r="BI24" i="9"/>
  <c r="AF24" i="9"/>
  <c r="I24" i="9"/>
  <c r="BU24" i="9"/>
  <c r="AZ24" i="9"/>
  <c r="N24" i="9"/>
  <c r="AT24" i="9"/>
  <c r="BZ24" i="9"/>
  <c r="S24" i="9"/>
  <c r="AY24" i="9"/>
  <c r="CE24" i="9"/>
  <c r="L27" i="9"/>
  <c r="BX27" i="9"/>
  <c r="AU27" i="9"/>
  <c r="P27" i="9"/>
  <c r="CB27" i="9"/>
  <c r="BG27" i="9"/>
  <c r="Q27" i="9"/>
  <c r="AW27" i="9"/>
  <c r="CC27" i="9"/>
  <c r="V27" i="9"/>
  <c r="BB27" i="9"/>
  <c r="CI27" i="9"/>
  <c r="AV23" i="9"/>
  <c r="AA23" i="9"/>
  <c r="CN23" i="9"/>
  <c r="BP23" i="9"/>
  <c r="AM23" i="9"/>
  <c r="E23" i="9"/>
  <c r="AK23" i="9"/>
  <c r="BQ23" i="9"/>
  <c r="J23" i="9"/>
  <c r="AP23" i="9"/>
  <c r="BV23" i="9"/>
  <c r="M25" i="9"/>
  <c r="CR25" i="9"/>
  <c r="AN26" i="9"/>
  <c r="AW24" i="9"/>
  <c r="BS24" i="9"/>
  <c r="AZ27" i="9"/>
  <c r="BQ27" i="9"/>
  <c r="AR23" i="9"/>
  <c r="BJ23" i="9"/>
  <c r="J25" i="9"/>
  <c r="BV25" i="9"/>
  <c r="AS25" i="9"/>
  <c r="N25" i="9"/>
  <c r="BZ25" i="9"/>
  <c r="AW25" i="9"/>
  <c r="O25" i="9"/>
  <c r="AU25" i="9"/>
  <c r="CA25" i="9"/>
  <c r="T25" i="9"/>
  <c r="AZ25" i="9"/>
  <c r="CF25" i="9"/>
  <c r="W26" i="9"/>
  <c r="CJ26" i="9"/>
  <c r="BF26" i="9"/>
  <c r="AI26" i="9"/>
  <c r="F26" i="9"/>
  <c r="BR26" i="9"/>
  <c r="X26" i="9"/>
  <c r="BD26" i="9"/>
  <c r="CK26" i="9"/>
  <c r="AC26" i="9"/>
  <c r="BI26" i="9"/>
  <c r="CP26" i="9"/>
  <c r="E24" i="9"/>
  <c r="BQ24" i="9"/>
  <c r="AN24" i="9"/>
  <c r="Q24" i="9"/>
  <c r="CC24" i="9"/>
  <c r="BH24" i="9"/>
  <c r="R24" i="9"/>
  <c r="AX24" i="9"/>
  <c r="CD24" i="9"/>
  <c r="W24" i="9"/>
  <c r="BC24" i="9"/>
  <c r="CJ24" i="9"/>
  <c r="T27" i="9"/>
  <c r="CF27" i="9"/>
  <c r="BC27" i="9"/>
  <c r="X27" i="9"/>
  <c r="CK27" i="9"/>
  <c r="BO27" i="9"/>
  <c r="U27" i="9"/>
  <c r="BA27" i="9"/>
  <c r="CH27" i="9"/>
  <c r="Z27" i="9"/>
  <c r="BF27" i="9"/>
  <c r="CM27" i="9"/>
  <c r="BD23" i="9"/>
  <c r="AI23" i="9"/>
  <c r="L23" i="9"/>
  <c r="BX23" i="9"/>
  <c r="AU23" i="9"/>
  <c r="I23" i="9"/>
  <c r="AO23" i="9"/>
  <c r="BU23" i="9"/>
  <c r="N23" i="9"/>
  <c r="AT23" i="9"/>
  <c r="BZ23" i="9"/>
  <c r="BY25" i="9"/>
  <c r="AJ25" i="9"/>
  <c r="H26" i="9"/>
  <c r="AK24" i="9"/>
  <c r="CO24" i="9"/>
  <c r="E27" i="9"/>
  <c r="BV27" i="9"/>
  <c r="O23" i="9"/>
  <c r="CQ23" i="9"/>
  <c r="R25" i="9"/>
  <c r="CD25" i="9"/>
  <c r="BA25" i="9"/>
  <c r="V25" i="9"/>
  <c r="CI25" i="9"/>
  <c r="BE25" i="9"/>
  <c r="S25" i="9"/>
  <c r="AY25" i="9"/>
  <c r="CE25" i="9"/>
  <c r="X25" i="9"/>
  <c r="BD25" i="9"/>
  <c r="CK25" i="9"/>
  <c r="AE26" i="9"/>
  <c r="CR26" i="9"/>
  <c r="BN26" i="9"/>
  <c r="AQ26" i="9"/>
  <c r="N26" i="9"/>
  <c r="BZ26" i="9"/>
  <c r="AB26" i="9"/>
  <c r="BH26" i="9"/>
  <c r="CO26" i="9"/>
  <c r="AG26" i="9"/>
  <c r="BM26" i="9"/>
  <c r="M24" i="9"/>
  <c r="BY24" i="9"/>
  <c r="AV24" i="9"/>
  <c r="Y24" i="9"/>
  <c r="CL24" i="9"/>
  <c r="BP24" i="9"/>
  <c r="V24" i="9"/>
  <c r="BB24" i="9"/>
  <c r="CI24" i="9"/>
  <c r="AA24" i="9"/>
  <c r="BG24" i="9"/>
  <c r="CN24" i="9"/>
  <c r="AB27" i="9"/>
  <c r="CO27" i="9"/>
  <c r="BK27" i="9"/>
  <c r="AF27" i="9"/>
  <c r="K27" i="9"/>
  <c r="BW27" i="9"/>
  <c r="Y27" i="9"/>
  <c r="BE27" i="9"/>
  <c r="CL27" i="9"/>
  <c r="AD27" i="9"/>
  <c r="BJ27" i="9"/>
  <c r="CQ27" i="9"/>
  <c r="BL23" i="9"/>
  <c r="AQ23" i="9"/>
  <c r="T23" i="9"/>
  <c r="CF23" i="9"/>
  <c r="BC23" i="9"/>
  <c r="M23" i="9"/>
  <c r="AS23" i="9"/>
  <c r="BY23" i="9"/>
  <c r="R23" i="9"/>
  <c r="AX23" i="9"/>
  <c r="CD23" i="9"/>
  <c r="CG24" i="9"/>
  <c r="DC7" i="19" s="1"/>
  <c r="AT25" i="9"/>
  <c r="AL26" i="9"/>
  <c r="AS26" i="9"/>
  <c r="AH24" i="9"/>
  <c r="BD27" i="9"/>
  <c r="X23" i="9"/>
  <c r="AD23" i="9"/>
  <c r="Z25" i="9"/>
  <c r="CM25" i="9"/>
  <c r="BI25" i="9"/>
  <c r="AD25" i="9"/>
  <c r="CQ25" i="9"/>
  <c r="BM25" i="9"/>
  <c r="W25" i="9"/>
  <c r="BC25" i="9"/>
  <c r="CJ25" i="9"/>
  <c r="AB25" i="9"/>
  <c r="BH25" i="9"/>
  <c r="CO25" i="9"/>
  <c r="AM26" i="9"/>
  <c r="J26" i="9"/>
  <c r="BV26" i="9"/>
  <c r="AY26" i="9"/>
  <c r="V26" i="9"/>
  <c r="CI26" i="9"/>
  <c r="AF26" i="9"/>
  <c r="BL26" i="9"/>
  <c r="E26" i="9"/>
  <c r="AK26" i="9"/>
  <c r="BQ26" i="9"/>
  <c r="U24" i="9"/>
  <c r="CH24" i="9"/>
  <c r="BD24" i="9"/>
  <c r="AG24" i="9"/>
  <c r="L24" i="9"/>
  <c r="BX24" i="9"/>
  <c r="Z24" i="9"/>
  <c r="BF24" i="9"/>
  <c r="CM24" i="9"/>
  <c r="AE24" i="9"/>
  <c r="BK24" i="9"/>
  <c r="CR24" i="9"/>
  <c r="AJ27" i="9"/>
  <c r="G27" i="9"/>
  <c r="BS27" i="9"/>
  <c r="AN27" i="9"/>
  <c r="S27" i="9"/>
  <c r="CE27" i="9"/>
  <c r="AC27" i="9"/>
  <c r="BI27" i="9"/>
  <c r="CP27" i="9"/>
  <c r="AH27" i="9"/>
  <c r="BN27" i="9"/>
  <c r="H23" i="9"/>
  <c r="BT23" i="9"/>
  <c r="AY23" i="9"/>
  <c r="AB23" i="9"/>
  <c r="CO23" i="9"/>
  <c r="BK23" i="9"/>
  <c r="Q23" i="9"/>
  <c r="AW23" i="9"/>
  <c r="CC23" i="9"/>
  <c r="V23" i="9"/>
  <c r="BB23" i="9"/>
  <c r="CI23" i="9"/>
  <c r="Q25" i="9"/>
  <c r="BP25" i="9"/>
  <c r="BO26" i="9"/>
  <c r="AB24" i="9"/>
  <c r="AM24" i="9"/>
  <c r="W27" i="9"/>
  <c r="J27" i="9"/>
  <c r="CA23" i="9"/>
  <c r="AH25" i="9"/>
  <c r="E25" i="9"/>
  <c r="BQ25" i="9"/>
  <c r="AL25" i="9"/>
  <c r="I25" i="9"/>
  <c r="BU25" i="9"/>
  <c r="AA25" i="9"/>
  <c r="BG25" i="9"/>
  <c r="CN25" i="9"/>
  <c r="AF25" i="9"/>
  <c r="BL25" i="9"/>
  <c r="AU26" i="9"/>
  <c r="R26" i="9"/>
  <c r="CD26" i="9"/>
  <c r="BG26" i="9"/>
  <c r="AD26" i="9"/>
  <c r="CQ26" i="9"/>
  <c r="AJ26" i="9"/>
  <c r="BP26" i="9"/>
  <c r="I26" i="9"/>
  <c r="AO26" i="9"/>
  <c r="BU26" i="9"/>
  <c r="AC24" i="9"/>
  <c r="CP24" i="9"/>
  <c r="BL24" i="9"/>
  <c r="AO24" i="9"/>
  <c r="T24" i="9"/>
  <c r="CF24" i="9"/>
  <c r="AD24" i="9"/>
  <c r="BJ24" i="9"/>
  <c r="CQ24" i="9"/>
  <c r="AI24" i="9"/>
  <c r="BO24" i="9"/>
  <c r="AR27" i="9"/>
  <c r="O27" i="9"/>
  <c r="CA27" i="9"/>
  <c r="AV27" i="9"/>
  <c r="AA27" i="9"/>
  <c r="CN27" i="9"/>
  <c r="AG27" i="9"/>
  <c r="BM27" i="9"/>
  <c r="F27" i="9"/>
  <c r="AL27" i="9"/>
  <c r="BR27" i="9"/>
  <c r="P23" i="9"/>
  <c r="CB23" i="9"/>
  <c r="BG23" i="9"/>
  <c r="AJ23" i="9"/>
  <c r="G23" i="9"/>
  <c r="BS23" i="9"/>
  <c r="U23" i="9"/>
  <c r="BA23" i="9"/>
  <c r="CH23" i="9"/>
  <c r="Z23" i="9"/>
  <c r="BF23" i="9"/>
  <c r="CM23" i="9"/>
  <c r="CG25" i="9"/>
  <c r="DC8" i="19" s="1"/>
  <c r="AR22" i="9"/>
  <c r="K22" i="9"/>
  <c r="BW22" i="9"/>
  <c r="AT22" i="9"/>
  <c r="O22" i="9"/>
  <c r="CA22" i="9"/>
  <c r="AX22" i="9"/>
  <c r="P22" i="9"/>
  <c r="AV22" i="9"/>
  <c r="CB22" i="9"/>
  <c r="U22" i="9"/>
  <c r="BA22" i="9"/>
  <c r="CH22" i="9"/>
  <c r="BO22" i="9"/>
  <c r="BX22" i="9"/>
  <c r="S22" i="9"/>
  <c r="CE22" i="9"/>
  <c r="BB22" i="9"/>
  <c r="W22" i="9"/>
  <c r="CJ22" i="9"/>
  <c r="BF22" i="9"/>
  <c r="T22" i="9"/>
  <c r="AZ22" i="9"/>
  <c r="CF22" i="9"/>
  <c r="Y22" i="9"/>
  <c r="BE22" i="9"/>
  <c r="CL22" i="9"/>
  <c r="CG22" i="9"/>
  <c r="DC5" i="19" s="1"/>
  <c r="BS22" i="9"/>
  <c r="AW22" i="9"/>
  <c r="AA22" i="9"/>
  <c r="CN22" i="9"/>
  <c r="BJ22" i="9"/>
  <c r="AE22" i="9"/>
  <c r="CR22" i="9"/>
  <c r="BN22" i="9"/>
  <c r="X22" i="9"/>
  <c r="BD22" i="9"/>
  <c r="CK22" i="9"/>
  <c r="AC22" i="9"/>
  <c r="BI22" i="9"/>
  <c r="CP22" i="9"/>
  <c r="L22" i="9"/>
  <c r="AI22" i="9"/>
  <c r="F22" i="9"/>
  <c r="BR22" i="9"/>
  <c r="AM22" i="9"/>
  <c r="J22" i="9"/>
  <c r="BV22" i="9"/>
  <c r="AB22" i="9"/>
  <c r="BH22" i="9"/>
  <c r="CO22" i="9"/>
  <c r="AG22" i="9"/>
  <c r="BM22" i="9"/>
  <c r="AP22" i="9"/>
  <c r="AQ22" i="9"/>
  <c r="N22" i="9"/>
  <c r="BZ22" i="9"/>
  <c r="AU22" i="9"/>
  <c r="R22" i="9"/>
  <c r="CD22" i="9"/>
  <c r="AF22" i="9"/>
  <c r="BL22" i="9"/>
  <c r="E22" i="9"/>
  <c r="AK22" i="9"/>
  <c r="BQ22" i="9"/>
  <c r="AL22" i="9"/>
  <c r="CC22" i="9"/>
  <c r="AY22" i="9"/>
  <c r="V22" i="9"/>
  <c r="CI22" i="9"/>
  <c r="BC22" i="9"/>
  <c r="Z22" i="9"/>
  <c r="CM22" i="9"/>
  <c r="AJ22" i="9"/>
  <c r="BP22" i="9"/>
  <c r="I22" i="9"/>
  <c r="AO22" i="9"/>
  <c r="BU22" i="9"/>
  <c r="G22" i="9"/>
  <c r="Q22" i="9"/>
  <c r="BG22" i="9"/>
  <c r="AD22" i="9"/>
  <c r="CQ22" i="9"/>
  <c r="BK22" i="9"/>
  <c r="AH22" i="9"/>
  <c r="H22" i="9"/>
  <c r="AN22" i="9"/>
  <c r="BT22" i="9"/>
  <c r="M22" i="9"/>
  <c r="AS22" i="9"/>
  <c r="BY22" i="9"/>
  <c r="AO21" i="9"/>
  <c r="S21" i="9"/>
  <c r="CD21" i="9"/>
  <c r="CF21" i="9"/>
  <c r="CM21" i="9"/>
  <c r="X21" i="9"/>
  <c r="CG21" i="9"/>
  <c r="DC4" i="19" s="1"/>
  <c r="V21" i="9"/>
  <c r="CI21" i="9"/>
  <c r="BE21" i="9"/>
  <c r="AH21" i="9"/>
  <c r="E21" i="9"/>
  <c r="BQ21" i="9"/>
  <c r="W21" i="9"/>
  <c r="BC21" i="9"/>
  <c r="CJ21" i="9"/>
  <c r="AB21" i="9"/>
  <c r="BH21" i="9"/>
  <c r="CO21" i="9"/>
  <c r="BA21" i="9"/>
  <c r="AW21" i="9"/>
  <c r="AY21" i="9"/>
  <c r="AD21" i="9"/>
  <c r="CQ21" i="9"/>
  <c r="BM21" i="9"/>
  <c r="AP21" i="9"/>
  <c r="M21" i="9"/>
  <c r="BY21" i="9"/>
  <c r="AA21" i="9"/>
  <c r="BG21" i="9"/>
  <c r="CN21" i="9"/>
  <c r="AF21" i="9"/>
  <c r="BL21" i="9"/>
  <c r="O21" i="9"/>
  <c r="AZ21" i="9"/>
  <c r="N21" i="9"/>
  <c r="CE21" i="9"/>
  <c r="AL21" i="9"/>
  <c r="I21" i="9"/>
  <c r="BU21" i="9"/>
  <c r="AX21" i="9"/>
  <c r="U21" i="9"/>
  <c r="CH21" i="9"/>
  <c r="AE21" i="9"/>
  <c r="BK21" i="9"/>
  <c r="CR21" i="9"/>
  <c r="AJ21" i="9"/>
  <c r="BP21" i="9"/>
  <c r="BR21" i="9"/>
  <c r="T21" i="9"/>
  <c r="Z21" i="9"/>
  <c r="CK21" i="9"/>
  <c r="AT21" i="9"/>
  <c r="Q21" i="9"/>
  <c r="CC21" i="9"/>
  <c r="BF21" i="9"/>
  <c r="AC21" i="9"/>
  <c r="CP21" i="9"/>
  <c r="AI21" i="9"/>
  <c r="BO21" i="9"/>
  <c r="H21" i="9"/>
  <c r="AN21" i="9"/>
  <c r="BT21" i="9"/>
  <c r="F21" i="9"/>
  <c r="CA21" i="9"/>
  <c r="BZ21" i="9"/>
  <c r="BI21" i="9"/>
  <c r="BB21" i="9"/>
  <c r="Y21" i="9"/>
  <c r="CL21" i="9"/>
  <c r="BN21" i="9"/>
  <c r="AK21" i="9"/>
  <c r="G21" i="9"/>
  <c r="AM21" i="9"/>
  <c r="BS21" i="9"/>
  <c r="L21" i="9"/>
  <c r="AR21" i="9"/>
  <c r="BX21" i="9"/>
  <c r="R21" i="9"/>
  <c r="AU21" i="9"/>
  <c r="BD21" i="9"/>
  <c r="BJ21" i="9"/>
  <c r="AG21" i="9"/>
  <c r="J21" i="9"/>
  <c r="BV21" i="9"/>
  <c r="AS21" i="9"/>
  <c r="K21" i="9"/>
  <c r="AQ21" i="9"/>
  <c r="BW21" i="9"/>
  <c r="P21" i="9"/>
  <c r="AV21" i="9"/>
  <c r="CB21" i="9"/>
  <c r="V20" i="9"/>
  <c r="AG20" i="9"/>
  <c r="L20" i="9"/>
  <c r="BX20" i="9"/>
  <c r="AS20" i="9"/>
  <c r="P20" i="9"/>
  <c r="CB20" i="9"/>
  <c r="AD20" i="9"/>
  <c r="BJ20" i="9"/>
  <c r="CQ20" i="9"/>
  <c r="AI20" i="9"/>
  <c r="BO20" i="9"/>
  <c r="K14" i="22"/>
  <c r="K14" i="15"/>
  <c r="Q20" i="9"/>
  <c r="BL20" i="9"/>
  <c r="BG20" i="9"/>
  <c r="AO20" i="9"/>
  <c r="T20" i="9"/>
  <c r="CF20" i="9"/>
  <c r="BA20" i="9"/>
  <c r="X20" i="9"/>
  <c r="CK20" i="9"/>
  <c r="AH20" i="9"/>
  <c r="BN20" i="9"/>
  <c r="G20" i="9"/>
  <c r="AM20" i="9"/>
  <c r="BS20" i="9"/>
  <c r="BH20" i="9"/>
  <c r="AA20" i="9"/>
  <c r="AW20" i="9"/>
  <c r="AB20" i="9"/>
  <c r="CO20" i="9"/>
  <c r="BI20" i="9"/>
  <c r="AF20" i="9"/>
  <c r="F20" i="9"/>
  <c r="AL20" i="9"/>
  <c r="BR20" i="9"/>
  <c r="K20" i="9"/>
  <c r="AQ20" i="9"/>
  <c r="BW20" i="9"/>
  <c r="BB20" i="9"/>
  <c r="BE20" i="9"/>
  <c r="AJ20" i="9"/>
  <c r="E20" i="9"/>
  <c r="BQ20" i="9"/>
  <c r="AN20" i="9"/>
  <c r="J20" i="9"/>
  <c r="AP20" i="9"/>
  <c r="BV20" i="9"/>
  <c r="O20" i="9"/>
  <c r="AU20" i="9"/>
  <c r="CA20" i="9"/>
  <c r="CC20" i="9"/>
  <c r="CI20" i="9"/>
  <c r="BM20" i="9"/>
  <c r="AR20" i="9"/>
  <c r="M20" i="9"/>
  <c r="BY20" i="9"/>
  <c r="AV20" i="9"/>
  <c r="N20" i="9"/>
  <c r="AT20" i="9"/>
  <c r="BZ20" i="9"/>
  <c r="S20" i="9"/>
  <c r="AY20" i="9"/>
  <c r="CE20" i="9"/>
  <c r="AC20" i="9"/>
  <c r="K14" i="5"/>
  <c r="I20" i="9"/>
  <c r="BU20" i="9"/>
  <c r="AZ20" i="9"/>
  <c r="U20" i="9"/>
  <c r="CH20" i="9"/>
  <c r="BD20" i="9"/>
  <c r="R20" i="9"/>
  <c r="AX20" i="9"/>
  <c r="CD20" i="9"/>
  <c r="W20" i="9"/>
  <c r="BC20" i="9"/>
  <c r="CJ20" i="9"/>
  <c r="CP20" i="9"/>
  <c r="CN20" i="9"/>
  <c r="K14" i="18"/>
  <c r="Y20" i="9"/>
  <c r="CL20" i="9"/>
  <c r="BP20" i="9"/>
  <c r="AK20" i="9"/>
  <c r="H20" i="9"/>
  <c r="BT20" i="9"/>
  <c r="Z20" i="9"/>
  <c r="BF20" i="9"/>
  <c r="CM20" i="9"/>
  <c r="AE20" i="9"/>
  <c r="BK20" i="9"/>
  <c r="CR20" i="9"/>
  <c r="E703" i="14"/>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P8" i="9"/>
  <c r="P9" i="9"/>
  <c r="L9"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E96" i="9"/>
  <c r="M96" i="9"/>
  <c r="O96" i="9"/>
  <c r="AJ96" i="9"/>
  <c r="T96" i="9"/>
  <c r="V96" i="9"/>
  <c r="K96" i="9"/>
  <c r="Y96" i="9"/>
  <c r="AA96" i="9"/>
  <c r="AP96" i="9"/>
  <c r="AF96" i="9"/>
  <c r="AB96" i="9"/>
  <c r="Q96" i="9"/>
  <c r="AK96" i="9"/>
  <c r="AM96" i="9"/>
  <c r="AV96" i="9"/>
  <c r="I96" i="9"/>
  <c r="AH96" i="9"/>
  <c r="W96" i="9"/>
  <c r="AW96" i="9"/>
  <c r="F96" i="9"/>
  <c r="G96" i="9"/>
  <c r="U96" i="9"/>
  <c r="AN96" i="9"/>
  <c r="AC96" i="9"/>
  <c r="N96" i="9"/>
  <c r="L96" i="9"/>
  <c r="S96" i="9"/>
  <c r="AG96" i="9"/>
  <c r="AT96" i="9"/>
  <c r="AI96" i="9"/>
  <c r="Z96" i="9"/>
  <c r="R96" i="9"/>
  <c r="AE96" i="9"/>
  <c r="AS96" i="9"/>
  <c r="AO96" i="9"/>
  <c r="AL96" i="9"/>
  <c r="X96" i="9"/>
  <c r="AQ96" i="9"/>
  <c r="J96" i="9"/>
  <c r="AU96" i="9"/>
  <c r="AR96" i="9"/>
  <c r="AD96" i="9"/>
  <c r="H96" i="9"/>
  <c r="P96" i="9"/>
  <c r="I55" i="9"/>
  <c r="BL55" i="9"/>
  <c r="G628" i="14"/>
  <c r="F210" i="14"/>
  <c r="AZ55" i="9"/>
  <c r="H514" i="14"/>
  <c r="J1692" i="21"/>
  <c r="AG55" i="9"/>
  <c r="BT55" i="9"/>
  <c r="J400" i="14"/>
  <c r="J96" i="14"/>
  <c r="CN55" i="9"/>
  <c r="AU55" i="9"/>
  <c r="G286" i="14"/>
  <c r="AS55" i="9"/>
  <c r="CF55" i="9"/>
  <c r="I1882" i="22"/>
  <c r="AQ55" i="9"/>
  <c r="V55" i="9"/>
  <c r="I362" i="14"/>
  <c r="F134" i="14"/>
  <c r="M55" i="9"/>
  <c r="I628" i="14"/>
  <c r="BC55" i="9"/>
  <c r="F55" i="9"/>
  <c r="BB55" i="9"/>
  <c r="F666" i="14"/>
  <c r="J134" i="14"/>
  <c r="BW55" i="9"/>
  <c r="I704" i="14"/>
  <c r="F324" i="14"/>
  <c r="G400" i="14"/>
  <c r="AM55" i="9"/>
  <c r="F134" i="15"/>
  <c r="G210" i="14"/>
  <c r="AT55" i="9"/>
  <c r="CB55" i="9"/>
  <c r="G96" i="14"/>
  <c r="AN55" i="9"/>
  <c r="CI55" i="9"/>
  <c r="I400" i="14"/>
  <c r="AE55" i="9"/>
  <c r="AK55" i="9"/>
  <c r="H324" i="14"/>
  <c r="J172" i="14"/>
  <c r="BZ55" i="9"/>
  <c r="J134" i="15"/>
  <c r="O55" i="9"/>
  <c r="CE55" i="9"/>
  <c r="K55" i="9"/>
  <c r="I134" i="14"/>
  <c r="J704" i="14"/>
  <c r="N55" i="9"/>
  <c r="H210" i="14"/>
  <c r="Q55" i="9"/>
  <c r="F286" i="14"/>
  <c r="CC55" i="9"/>
  <c r="H248" i="14"/>
  <c r="J210" i="14"/>
  <c r="BQ55" i="9"/>
  <c r="F172" i="15"/>
  <c r="J666" i="14"/>
  <c r="AL55" i="9"/>
  <c r="BI55" i="9"/>
  <c r="J362" i="14"/>
  <c r="CJ55" i="9"/>
  <c r="CR55" i="9"/>
  <c r="I324" i="14"/>
  <c r="G666" i="14"/>
  <c r="BY55" i="9"/>
  <c r="AY55" i="9"/>
  <c r="H400" i="14"/>
  <c r="S55" i="9"/>
  <c r="BO55" i="9"/>
  <c r="BU55" i="9"/>
  <c r="G1882" i="22"/>
  <c r="F704" i="14"/>
  <c r="W55" i="9"/>
  <c r="G362" i="14"/>
  <c r="G1692" i="21"/>
  <c r="AD55" i="9"/>
  <c r="T55" i="9"/>
  <c r="I514" i="14"/>
  <c r="H286" i="14"/>
  <c r="CG55" i="9"/>
  <c r="F362" i="14"/>
  <c r="H134" i="15"/>
  <c r="CP55" i="9"/>
  <c r="AB55" i="9"/>
  <c r="E55" i="9"/>
  <c r="G172" i="15"/>
  <c r="J248" i="14"/>
  <c r="BE55" i="9"/>
  <c r="CK55" i="9"/>
  <c r="H666" i="14"/>
  <c r="G514" i="14"/>
  <c r="AR55" i="9"/>
  <c r="CO55" i="9"/>
  <c r="H172" i="14"/>
  <c r="G172" i="14"/>
  <c r="Y55" i="9"/>
  <c r="I96" i="14"/>
  <c r="I172" i="15"/>
  <c r="CQ55" i="9"/>
  <c r="J514" i="14"/>
  <c r="F248" i="14"/>
  <c r="BA55" i="9"/>
  <c r="BG55" i="9"/>
  <c r="G134" i="14"/>
  <c r="CD55" i="9"/>
  <c r="P55" i="9"/>
  <c r="L55" i="9"/>
  <c r="AA55" i="9"/>
  <c r="J1882" i="22"/>
  <c r="I134" i="15"/>
  <c r="CL55" i="9"/>
  <c r="BV55" i="9"/>
  <c r="I248" i="14"/>
  <c r="H1882" i="22"/>
  <c r="CM55" i="9"/>
  <c r="AF55" i="9"/>
  <c r="J286" i="14"/>
  <c r="BS55" i="9"/>
  <c r="AI55" i="9"/>
  <c r="F628" i="14"/>
  <c r="F514" i="14"/>
  <c r="H55" i="9"/>
  <c r="F1882" i="22"/>
  <c r="J172" i="15"/>
  <c r="BH55" i="9"/>
  <c r="F96" i="14"/>
  <c r="H704" i="14"/>
  <c r="AO55" i="9"/>
  <c r="BR55" i="9"/>
  <c r="AJ55" i="9"/>
  <c r="J628" i="14"/>
  <c r="I1692" i="21"/>
  <c r="AV55" i="9"/>
  <c r="BN55" i="9"/>
  <c r="H1692" i="21"/>
  <c r="I172" i="14"/>
  <c r="U55" i="9"/>
  <c r="CH55" i="9"/>
  <c r="I666" i="14"/>
  <c r="AP55" i="9"/>
  <c r="AC55" i="9"/>
  <c r="H134" i="14"/>
  <c r="H362" i="14"/>
  <c r="J55" i="9"/>
  <c r="G248" i="14"/>
  <c r="F400" i="14"/>
  <c r="BD55" i="9"/>
  <c r="G324" i="14"/>
  <c r="G704" i="14"/>
  <c r="BK55" i="9"/>
  <c r="BX55" i="9"/>
  <c r="Z55" i="9"/>
  <c r="H96" i="14"/>
  <c r="BJ55" i="9"/>
  <c r="AX55" i="9"/>
  <c r="AH55" i="9"/>
  <c r="F172" i="14"/>
  <c r="BM55" i="9"/>
  <c r="X55" i="9"/>
  <c r="I210" i="14"/>
  <c r="J324" i="14"/>
  <c r="CA55" i="9"/>
  <c r="BP55" i="9"/>
  <c r="H628" i="14"/>
  <c r="G55" i="9"/>
  <c r="AW55" i="9"/>
  <c r="I286" i="14"/>
  <c r="H172" i="15"/>
  <c r="BF55" i="9"/>
  <c r="F1692" i="21"/>
  <c r="G134" i="15"/>
  <c r="R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654" i="21"/>
  <c r="I1654" i="21"/>
  <c r="F1008" i="22"/>
  <c r="J1616" i="21"/>
  <c r="J1540" i="22"/>
  <c r="H1426" i="22"/>
  <c r="J970" i="22"/>
  <c r="I1844" i="22"/>
  <c r="G1654" i="21"/>
  <c r="H1122" i="22"/>
  <c r="I970" i="22"/>
  <c r="H970" i="21"/>
  <c r="J970" i="21"/>
  <c r="J1008" i="22"/>
  <c r="G1578" i="22"/>
  <c r="G1540" i="22"/>
  <c r="G1616" i="21"/>
  <c r="H1844" i="22"/>
  <c r="I1008" i="22"/>
  <c r="J1844" i="22"/>
  <c r="F1540" i="22"/>
  <c r="H1578" i="22"/>
  <c r="F1844" i="22"/>
  <c r="F1122" i="22"/>
  <c r="I1426" i="22"/>
  <c r="J1654" i="21"/>
  <c r="G1426" i="22"/>
  <c r="F1654" i="21"/>
  <c r="G1844" i="22"/>
  <c r="F970" i="21"/>
  <c r="F1426" i="22"/>
  <c r="F970" i="22"/>
  <c r="J1578" i="22"/>
  <c r="J1426" i="22"/>
  <c r="G970" i="22"/>
  <c r="I1122" i="22"/>
  <c r="I1578" i="22"/>
  <c r="I970" i="21"/>
  <c r="J1122" i="22"/>
  <c r="I1616" i="21"/>
  <c r="H1008" i="22"/>
  <c r="H1616" i="21"/>
  <c r="G1122" i="22"/>
  <c r="G1350" i="21"/>
  <c r="G970" i="21"/>
  <c r="F1350" i="21"/>
  <c r="J1350" i="21"/>
  <c r="H970" i="22"/>
  <c r="I1350" i="21"/>
  <c r="H1540" i="22"/>
  <c r="F1578" i="22"/>
  <c r="I1540" i="22"/>
  <c r="H1350" i="21"/>
  <c r="G1008" i="22"/>
  <c r="F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324" i="21"/>
  <c r="F1274" i="21"/>
  <c r="H362" i="22"/>
  <c r="F476" i="22"/>
  <c r="G476" i="22"/>
  <c r="I1654" i="22"/>
  <c r="F1198" i="21"/>
  <c r="J96" i="22"/>
  <c r="I894" i="22"/>
  <c r="F1692" i="22"/>
  <c r="G172" i="22"/>
  <c r="H20" i="5"/>
  <c r="H1236" i="21"/>
  <c r="J1654" i="22"/>
  <c r="J514" i="21"/>
  <c r="G20" i="22"/>
  <c r="G666" i="21"/>
  <c r="G400" i="22"/>
  <c r="H1388" i="22"/>
  <c r="F210" i="15"/>
  <c r="I20" i="15"/>
  <c r="J58" i="15"/>
  <c r="G20" i="18"/>
  <c r="F96" i="15"/>
  <c r="H210" i="15"/>
  <c r="G1464" i="21"/>
  <c r="G134" i="22"/>
  <c r="G1198" i="21"/>
  <c r="H96" i="22"/>
  <c r="I1160" i="22"/>
  <c r="H1122" i="21"/>
  <c r="G58" i="5"/>
  <c r="H362" i="21"/>
  <c r="J400" i="22"/>
  <c r="H134" i="22"/>
  <c r="I362" i="21"/>
  <c r="G134" i="5"/>
  <c r="G210" i="5"/>
  <c r="J1388" i="21"/>
  <c r="J286" i="15"/>
  <c r="J286" i="22"/>
  <c r="I476" i="14"/>
  <c r="F742" i="22"/>
  <c r="F1578" i="21"/>
  <c r="G1502" i="22"/>
  <c r="J96" i="18"/>
  <c r="F1312" i="22"/>
  <c r="F134" i="18"/>
  <c r="I628" i="22"/>
  <c r="H1312" i="22"/>
  <c r="H1464" i="22"/>
  <c r="H476" i="14"/>
  <c r="I324" i="21"/>
  <c r="G1806" i="22"/>
  <c r="I856" i="21"/>
  <c r="F172" i="21"/>
  <c r="H58" i="15"/>
  <c r="I552" i="21"/>
  <c r="G1084" i="21"/>
  <c r="F780" i="21"/>
  <c r="H552" i="14"/>
  <c r="G894" i="22"/>
  <c r="F58" i="22"/>
  <c r="H780" i="21"/>
  <c r="F96" i="22"/>
  <c r="H134" i="5"/>
  <c r="F210" i="21"/>
  <c r="J172" i="18"/>
  <c r="G856" i="21"/>
  <c r="G362" i="22"/>
  <c r="G1730" i="22"/>
  <c r="G286" i="21"/>
  <c r="J1160" i="22"/>
  <c r="I780" i="22"/>
  <c r="J704" i="21"/>
  <c r="I20" i="5"/>
  <c r="H96" i="15"/>
  <c r="I1236" i="21"/>
  <c r="G818" i="21"/>
  <c r="G1236" i="21"/>
  <c r="I58" i="5"/>
  <c r="J932" i="22"/>
  <c r="J1806" i="22"/>
  <c r="F58" i="21"/>
  <c r="I1236" i="22"/>
  <c r="F932" i="21"/>
  <c r="J590" i="21"/>
  <c r="F590" i="14"/>
  <c r="H1388" i="21"/>
  <c r="H856" i="21"/>
  <c r="I438" i="21"/>
  <c r="J210" i="15"/>
  <c r="F628" i="22"/>
  <c r="G20" i="15"/>
  <c r="J1692" i="22"/>
  <c r="G96" i="13"/>
  <c r="F286" i="15"/>
  <c r="G552" i="14"/>
  <c r="I210" i="5"/>
  <c r="I248" i="21"/>
  <c r="I20" i="22"/>
  <c r="H438" i="22"/>
  <c r="H324" i="15"/>
  <c r="G134" i="18"/>
  <c r="G666" i="22"/>
  <c r="G400" i="21"/>
  <c r="H20" i="15"/>
  <c r="J1768" i="22"/>
  <c r="I438" i="22"/>
  <c r="J58" i="21"/>
  <c r="H286" i="21"/>
  <c r="J172" i="21"/>
  <c r="F1426" i="21"/>
  <c r="J400" i="21"/>
  <c r="J210" i="22"/>
  <c r="H476" i="22"/>
  <c r="I666" i="22"/>
  <c r="J248" i="15"/>
  <c r="J20" i="14"/>
  <c r="F134" i="22"/>
  <c r="J1350" i="22"/>
  <c r="G58" i="15"/>
  <c r="H58" i="18"/>
  <c r="H1084" i="22"/>
  <c r="F818" i="22"/>
  <c r="H1654" i="22"/>
  <c r="H210" i="5"/>
  <c r="F704" i="22"/>
  <c r="J248" i="21"/>
  <c r="J362" i="22"/>
  <c r="I1502" i="21"/>
  <c r="J780" i="21"/>
  <c r="J1046" i="21"/>
  <c r="J134" i="18"/>
  <c r="J894" i="21"/>
  <c r="G96" i="15"/>
  <c r="H1730" i="22"/>
  <c r="J1502" i="22"/>
  <c r="I1312" i="21"/>
  <c r="G1388" i="22"/>
  <c r="F324" i="15"/>
  <c r="I704" i="22"/>
  <c r="J324" i="15"/>
  <c r="I476" i="21"/>
  <c r="H134" i="18"/>
  <c r="J1160" i="21"/>
  <c r="I1046" i="21"/>
  <c r="H590" i="22"/>
  <c r="I1350" i="22"/>
  <c r="F1768" i="22"/>
  <c r="F362" i="21"/>
  <c r="G1046" i="21"/>
  <c r="J552" i="21"/>
  <c r="H1198" i="21"/>
  <c r="J58" i="14"/>
  <c r="J552" i="14"/>
  <c r="F172" i="5"/>
  <c r="H666" i="22"/>
  <c r="G324" i="15"/>
  <c r="H20" i="14"/>
  <c r="F476" i="21"/>
  <c r="F438" i="14"/>
  <c r="G172" i="5"/>
  <c r="H96" i="18"/>
  <c r="J210" i="5"/>
  <c r="F1502" i="21"/>
  <c r="J666" i="21"/>
  <c r="H1540" i="21"/>
  <c r="G1084" i="22"/>
  <c r="F248" i="22"/>
  <c r="J1084" i="22"/>
  <c r="J552" i="22"/>
  <c r="F552" i="22"/>
  <c r="G96" i="5"/>
  <c r="G932" i="22"/>
  <c r="I172" i="22"/>
  <c r="F1084" i="21"/>
  <c r="G248" i="21"/>
  <c r="H590" i="21"/>
  <c r="F248" i="21"/>
  <c r="I400" i="21"/>
  <c r="F780" i="22"/>
  <c r="G1160" i="22"/>
  <c r="F286" i="21"/>
  <c r="G704" i="21"/>
  <c r="G1654" i="22"/>
  <c r="H1046" i="21"/>
  <c r="H704" i="22"/>
  <c r="J1122" i="21"/>
  <c r="F362" i="22"/>
  <c r="G1046" i="22"/>
  <c r="F20" i="13"/>
  <c r="H552" i="21"/>
  <c r="I666" i="21"/>
  <c r="F20" i="22"/>
  <c r="G210" i="21"/>
  <c r="I134" i="18"/>
  <c r="H476" i="21"/>
  <c r="H818" i="22"/>
  <c r="H666" i="21"/>
  <c r="F894" i="21"/>
  <c r="I514" i="21"/>
  <c r="J58" i="18"/>
  <c r="J1008" i="21"/>
  <c r="F1160" i="22"/>
  <c r="F20" i="5"/>
  <c r="H514" i="21"/>
  <c r="I514" i="22"/>
  <c r="H172" i="22"/>
  <c r="F1008" i="21"/>
  <c r="H324" i="22"/>
  <c r="G590" i="22"/>
  <c r="G1464" i="22"/>
  <c r="I1806" i="22"/>
  <c r="H932" i="22"/>
  <c r="G1198" i="22"/>
  <c r="I1540" i="21"/>
  <c r="H58" i="22"/>
  <c r="H1198" i="22"/>
  <c r="F1236" i="21"/>
  <c r="J20" i="22"/>
  <c r="G438" i="21"/>
  <c r="H1046" i="22"/>
  <c r="I476" i="22"/>
  <c r="F818" i="21"/>
  <c r="J1426" i="21"/>
  <c r="H1806" i="22"/>
  <c r="J514" i="22"/>
  <c r="I248" i="22"/>
  <c r="G514" i="22"/>
  <c r="H590" i="14"/>
  <c r="F58" i="13"/>
  <c r="I1008" i="21"/>
  <c r="J172" i="22"/>
  <c r="J286" i="21"/>
  <c r="I1122" i="21"/>
  <c r="I362" i="22"/>
  <c r="J1312" i="22"/>
  <c r="G58" i="21"/>
  <c r="J780" i="22"/>
  <c r="J20" i="15"/>
  <c r="H20" i="21"/>
  <c r="G20" i="21"/>
  <c r="H210" i="22"/>
  <c r="G590" i="21"/>
  <c r="F1464" i="21"/>
  <c r="I590" i="14"/>
  <c r="F932" i="22"/>
  <c r="I58" i="13"/>
  <c r="H286" i="15"/>
  <c r="J96" i="13"/>
  <c r="I1388" i="21"/>
  <c r="J20" i="5"/>
  <c r="I20" i="21"/>
  <c r="H742" i="22"/>
  <c r="H134" i="21"/>
  <c r="H514" i="22"/>
  <c r="J134" i="21"/>
  <c r="I20" i="13"/>
  <c r="F1464" i="22"/>
  <c r="G1692" i="22"/>
  <c r="J1578" i="21"/>
  <c r="G172" i="21"/>
  <c r="H1502" i="21"/>
  <c r="I1502" i="22"/>
  <c r="G628" i="21"/>
  <c r="G96" i="21"/>
  <c r="F1616" i="22"/>
  <c r="G932" i="21"/>
  <c r="F438" i="21"/>
  <c r="G20" i="13"/>
  <c r="I1426" i="21"/>
  <c r="G742" i="21"/>
  <c r="H1464" i="21"/>
  <c r="J856" i="22"/>
  <c r="F1388" i="21"/>
  <c r="I172" i="5"/>
  <c r="F1806" i="22"/>
  <c r="I932" i="22"/>
  <c r="I400" i="22"/>
  <c r="G780" i="22"/>
  <c r="F324" i="21"/>
  <c r="H58" i="5"/>
  <c r="I248" i="15"/>
  <c r="J1540" i="21"/>
  <c r="G438" i="22"/>
  <c r="H1312" i="21"/>
  <c r="H172" i="21"/>
  <c r="J1464" i="21"/>
  <c r="G96" i="22"/>
  <c r="F514" i="22"/>
  <c r="H894" i="21"/>
  <c r="H172" i="5"/>
  <c r="H1084" i="21"/>
  <c r="G1008" i="21"/>
  <c r="G248" i="15"/>
  <c r="I1768" i="22"/>
  <c r="I96" i="21"/>
  <c r="F20" i="18"/>
  <c r="I818" i="22"/>
  <c r="F1274" i="22"/>
  <c r="G1578" i="21"/>
  <c r="J1236" i="21"/>
  <c r="J134" i="22"/>
  <c r="H628" i="21"/>
  <c r="I96" i="13"/>
  <c r="I438" i="14"/>
  <c r="J96" i="5"/>
  <c r="G742" i="22"/>
  <c r="H1160" i="21"/>
  <c r="J362" i="21"/>
  <c r="G20" i="5"/>
  <c r="J248" i="22"/>
  <c r="F172" i="22"/>
  <c r="I134" i="5"/>
  <c r="H780" i="22"/>
  <c r="I1160" i="21"/>
  <c r="J894" i="22"/>
  <c r="F1122" i="21"/>
  <c r="F58" i="18"/>
  <c r="I96" i="18"/>
  <c r="F894" i="22"/>
  <c r="J134" i="5"/>
  <c r="H438" i="14"/>
  <c r="G856" i="22"/>
  <c r="F666" i="21"/>
  <c r="G58" i="14"/>
  <c r="J856" i="21"/>
  <c r="G552" i="22"/>
  <c r="H248" i="22"/>
  <c r="H1008" i="21"/>
  <c r="I1730" i="22"/>
  <c r="F666" i="22"/>
  <c r="G286" i="15"/>
  <c r="F1654" i="22"/>
  <c r="G1160" i="21"/>
  <c r="H1160" i="22"/>
  <c r="H856" i="22"/>
  <c r="H248" i="21"/>
  <c r="I742" i="22"/>
  <c r="H96" i="13"/>
  <c r="H286" i="22"/>
  <c r="G96" i="18"/>
  <c r="F1084" i="22"/>
  <c r="F96" i="5"/>
  <c r="F590" i="21"/>
  <c r="G818" i="22"/>
  <c r="G324" i="22"/>
  <c r="F476" i="14"/>
  <c r="J1388" i="22"/>
  <c r="J590" i="14"/>
  <c r="I932" i="21"/>
  <c r="J476" i="21"/>
  <c r="I1198" i="22"/>
  <c r="F590" i="22"/>
  <c r="F172" i="18"/>
  <c r="H932" i="21"/>
  <c r="G1616" i="22"/>
  <c r="I1312" i="22"/>
  <c r="F552" i="21"/>
  <c r="J1236" i="22"/>
  <c r="G1768" i="22"/>
  <c r="H172" i="18"/>
  <c r="I210" i="15"/>
  <c r="G552" i="21"/>
  <c r="I20" i="14"/>
  <c r="I1616" i="22"/>
  <c r="H438" i="21"/>
  <c r="H1350" i="22"/>
  <c r="G1540" i="21"/>
  <c r="G514" i="21"/>
  <c r="H400" i="22"/>
  <c r="J1046" i="22"/>
  <c r="H1502" i="22"/>
  <c r="F1046" i="22"/>
  <c r="G1312" i="22"/>
  <c r="F96" i="18"/>
  <c r="H20" i="18"/>
  <c r="H742" i="21"/>
  <c r="J324" i="22"/>
  <c r="J1502" i="21"/>
  <c r="F400" i="22"/>
  <c r="G20" i="14"/>
  <c r="I96" i="22"/>
  <c r="I1274" i="22"/>
  <c r="J1084" i="21"/>
  <c r="F1046" i="21"/>
  <c r="I818" i="21"/>
  <c r="H818" i="21"/>
  <c r="I1388" i="22"/>
  <c r="H96" i="5"/>
  <c r="G1236" i="22"/>
  <c r="J1198" i="21"/>
  <c r="F1350" i="22"/>
  <c r="G780" i="21"/>
  <c r="I58" i="21"/>
  <c r="H1768" i="22"/>
  <c r="F1540" i="21"/>
  <c r="G248" i="22"/>
  <c r="I58" i="14"/>
  <c r="J96" i="21"/>
  <c r="G476" i="14"/>
  <c r="F134" i="21"/>
  <c r="F210" i="5"/>
  <c r="J1274" i="21"/>
  <c r="F1160" i="21"/>
  <c r="H248" i="15"/>
  <c r="I20" i="18"/>
  <c r="I58" i="18"/>
  <c r="G1426" i="21"/>
  <c r="I628" i="21"/>
  <c r="G476" i="21"/>
  <c r="F20" i="14"/>
  <c r="J666" i="22"/>
  <c r="H58" i="13"/>
  <c r="F96" i="21"/>
  <c r="J96" i="15"/>
  <c r="H1274" i="22"/>
  <c r="G628" i="22"/>
  <c r="I172" i="18"/>
  <c r="I210" i="21"/>
  <c r="H1692" i="22"/>
  <c r="G58" i="22"/>
  <c r="I894" i="21"/>
  <c r="H58" i="14"/>
  <c r="F1388" i="22"/>
  <c r="I1084" i="21"/>
  <c r="H1426" i="21"/>
  <c r="H58" i="21"/>
  <c r="J1198" i="22"/>
  <c r="F1730" i="22"/>
  <c r="J438" i="22"/>
  <c r="H20" i="13"/>
  <c r="J438" i="21"/>
  <c r="I1692" i="22"/>
  <c r="F1198" i="22"/>
  <c r="F1502" i="22"/>
  <c r="I552" i="22"/>
  <c r="J476" i="14"/>
  <c r="F856" i="22"/>
  <c r="F438" i="22"/>
  <c r="G1350" i="22"/>
  <c r="I590" i="22"/>
  <c r="I96" i="15"/>
  <c r="J818" i="22"/>
  <c r="I1464" i="22"/>
  <c r="F58" i="15"/>
  <c r="I286" i="15"/>
  <c r="G1122" i="21"/>
  <c r="J58" i="22"/>
  <c r="G438" i="14"/>
  <c r="H628" i="22"/>
  <c r="I286" i="22"/>
  <c r="I1084" i="22"/>
  <c r="J932" i="21"/>
  <c r="G58" i="13"/>
  <c r="H1274" i="21"/>
  <c r="G1388" i="21"/>
  <c r="I1046" i="22"/>
  <c r="H400" i="21"/>
  <c r="F96" i="13"/>
  <c r="I172" i="21"/>
  <c r="J1464" i="22"/>
  <c r="I58" i="22"/>
  <c r="F514" i="21"/>
  <c r="J1616" i="22"/>
  <c r="F742" i="21"/>
  <c r="F58" i="14"/>
  <c r="I134" i="22"/>
  <c r="J172" i="5"/>
  <c r="F134" i="5"/>
  <c r="G324" i="21"/>
  <c r="G1274" i="21"/>
  <c r="H1616" i="22"/>
  <c r="J742" i="21"/>
  <c r="F286" i="22"/>
  <c r="G134" i="21"/>
  <c r="G362" i="21"/>
  <c r="H1236" i="22"/>
  <c r="J1274" i="22"/>
  <c r="H1578" i="21"/>
  <c r="J20" i="21"/>
  <c r="F1312" i="21"/>
  <c r="J628" i="21"/>
  <c r="F628" i="21"/>
  <c r="F856" i="21"/>
  <c r="G210" i="22"/>
  <c r="G1502" i="21"/>
  <c r="H552" i="22"/>
  <c r="G58" i="18"/>
  <c r="J628" i="22"/>
  <c r="J476" i="22"/>
  <c r="J1312" i="21"/>
  <c r="G590" i="14"/>
  <c r="H96" i="21"/>
  <c r="H704" i="21"/>
  <c r="I742" i="21"/>
  <c r="F20" i="15"/>
  <c r="I134" i="21"/>
  <c r="J20" i="13"/>
  <c r="J210" i="21"/>
  <c r="J438" i="14"/>
  <c r="I552" i="14"/>
  <c r="I324" i="15"/>
  <c r="H210" i="21"/>
  <c r="G286" i="22"/>
  <c r="G1274" i="22"/>
  <c r="I58" i="15"/>
  <c r="F552" i="14"/>
  <c r="F20" i="21"/>
  <c r="G172" i="18"/>
  <c r="I1464" i="21"/>
  <c r="I286" i="21"/>
  <c r="G894" i="21"/>
  <c r="J704" i="22"/>
  <c r="F210" i="22"/>
  <c r="I856" i="22"/>
  <c r="I1198" i="21"/>
  <c r="I780" i="21"/>
  <c r="G704" i="22"/>
  <c r="I324" i="22"/>
  <c r="I1274" i="21"/>
  <c r="J1730" i="22"/>
  <c r="H894" i="22"/>
  <c r="G1312" i="21"/>
  <c r="I210" i="22"/>
  <c r="J590" i="22"/>
  <c r="I590" i="21"/>
  <c r="F324" i="22"/>
  <c r="J324" i="21"/>
  <c r="G210" i="15"/>
  <c r="F400" i="21"/>
  <c r="J742" i="22"/>
  <c r="F248" i="15"/>
  <c r="F704" i="21"/>
  <c r="I1578" i="21"/>
  <c r="J818" i="21"/>
  <c r="J58" i="5"/>
  <c r="H20" i="22"/>
  <c r="F1236" i="22"/>
  <c r="J58" i="13"/>
  <c r="F58" i="5"/>
  <c r="I704" i="21"/>
  <c r="I96" i="5"/>
  <c r="J20" i="18"/>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<sst xmlns="http://schemas.openxmlformats.org/spreadsheetml/2006/main" count="3853" uniqueCount="539">
  <si>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</si>
  <si>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</si>
  <si>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</si>
  <si>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</si>
  <si>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</si>
  <si>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</si>
  <si>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</si>
  <si>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</si>
  <si>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</si>
  <si>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</si>
  <si>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</si>
  <si>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</si>
  <si>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</si>
  <si>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</si>
  <si>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</si>
  <si>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</si>
  <si>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</si>
  <si>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</si>
  <si>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</si>
  <si>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</si>
  <si>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</si>
  <si>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</si>
  <si>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</si>
  <si>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</si>
  <si>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</si>
  <si>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</si>
  <si>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</si>
  <si>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</si>
  <si>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</si>
  <si>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</si>
  <si>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</si>
  <si>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</si>
  <si>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</si>
  <si>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</si>
  <si>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</si>
  <si>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</si>
  <si>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</si>
  <si>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</si>
  <si>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</si>
  <si>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</si>
  <si>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</si>
  <si>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</si>
  <si>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</si>
  <si>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</si>
  <si>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</si>
  <si>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</si>
  <si>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</si>
  <si>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</si>
  <si>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</si>
  <si>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</si>
  <si>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</si>
  <si>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</si>
  <si>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</si>
  <si>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</si>
  <si>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</si>
  <si>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</si>
  <si>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</si>
  <si>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</si>
  <si>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</si>
  <si>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</si>
  <si>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</si>
  <si>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</si>
  <si>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</si>
  <si>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</si>
  <si>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</si>
  <si>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</si>
  <si>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</si>
  <si>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</si>
  <si>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</si>
  <si>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</si>
  <si>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</si>
  <si>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</si>
  <si>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</si>
  <si>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</si>
  <si>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</si>
  <si>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</si>
  <si>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</si>
  <si>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</si>
  <si>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</si>
  <si>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</si>
  <si>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</si>
  <si>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</si>
  <si>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</si>
  <si>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</si>
  <si>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</si>
  <si>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</si>
  <si>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</si>
  <si>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</si>
  <si>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</si>
  <si>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</si>
  <si>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</si>
  <si>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</si>
  <si>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</si>
  <si>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</si>
  <si>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</si>
  <si>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</si>
  <si>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</si>
  <si>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</si>
  <si>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</si>
  <si>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</si>
  <si>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</si>
  <si>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</si>
  <si>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</si>
  <si>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</si>
  <si>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</si>
  <si>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</si>
  <si>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</si>
  <si>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</si>
  <si>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</si>
  <si>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</si>
  <si>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</si>
  <si>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</si>
  <si>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</si>
  <si>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</si>
  <si>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</si>
  <si>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</si>
  <si>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</si>
  <si>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</si>
  <si>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</si>
  <si>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</si>
  <si>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</si>
  <si>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</si>
  <si>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</si>
  <si>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</si>
  <si>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</si>
  <si>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</si>
  <si>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</si>
  <si>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</si>
  <si>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</si>
  <si>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</si>
  <si>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</si>
  <si>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</si>
  <si>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</si>
  <si>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</si>
  <si>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</si>
  <si>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</si>
  <si>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</si>
  <si>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</si>
  <si>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</si>
  <si>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</si>
  <si>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</si>
  <si>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</si>
  <si>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</si>
  <si>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</si>
  <si>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</si>
  <si>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</si>
  <si>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</si>
  <si>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</si>
  <si>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</si>
  <si>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</si>
  <si>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</si>
  <si>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</si>
  <si>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</si>
  <si>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</si>
  <si>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</si>
  <si>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</si>
  <si>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</si>
  <si>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</si>
  <si>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</si>
  <si>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</si>
  <si>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</si>
  <si>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</si>
  <si>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</si>
  <si>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</si>
  <si>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</si>
  <si>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</si>
  <si>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</si>
  <si>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</si>
  <si>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</si>
  <si>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</si>
  <si>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</si>
  <si>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</si>
  <si>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</si>
  <si>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</si>
  <si>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</si>
  <si>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</si>
  <si>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</si>
  <si>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</si>
  <si>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</si>
  <si>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</si>
  <si>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</si>
  <si>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</si>
  <si>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</si>
  <si>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</si>
  <si>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</si>
  <si>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</si>
  <si>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</si>
  <si>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</si>
  <si>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</si>
  <si>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</si>
  <si>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</si>
  <si>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</si>
  <si>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</si>
  <si>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</si>
  <si>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</si>
  <si>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</si>
  <si>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</si>
  <si>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</si>
  <si>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</si>
  <si>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</si>
  <si>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</si>
  <si>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</si>
  <si>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</si>
  <si>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</si>
  <si>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</si>
  <si>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</si>
  <si>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</si>
  <si>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</si>
  <si>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</si>
  <si>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</si>
  <si>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</si>
  <si>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</si>
  <si>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</si>
  <si>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</si>
  <si>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</si>
  <si>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</si>
  <si>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</si>
  <si>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</si>
  <si>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</si>
  <si>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</si>
  <si>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</si>
  <si>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</si>
  <si>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</si>
  <si>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</si>
  <si>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</si>
  <si>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</si>
  <si>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</si>
  <si>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</si>
  <si>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</si>
  <si>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</si>
  <si>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</si>
  <si>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</si>
  <si>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</si>
  <si>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</si>
  <si>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</si>
  <si>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</si>
  <si>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</si>
  <si>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</si>
  <si>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</si>
  <si>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</si>
  <si>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</si>
  <si>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</si>
  <si>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</si>
  <si>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</si>
  <si>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</si>
  <si>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</si>
  <si>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</si>
  <si>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</si>
  <si>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</si>
  <si>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</si>
  <si>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</si>
  <si>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</si>
  <si>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</si>
  <si>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</si>
  <si>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</si>
  <si>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</si>
  <si>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</si>
  <si>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</si>
  <si>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</si>
  <si>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</si>
  <si>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</si>
  <si>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</si>
  <si>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</si>
  <si>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</si>
  <si>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</si>
  <si>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</si>
  <si>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</si>
  <si>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</si>
  <si>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</si>
  <si>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</si>
  <si>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</si>
  <si>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</si>
  <si>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</si>
  <si>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</si>
  <si>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</si>
  <si>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</si>
  <si>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</si>
  <si>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</si>
  <si>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</si>
  <si>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</si>
  <si>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</si>
  <si>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</si>
  <si>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</si>
  <si>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</si>
  <si>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</si>
  <si>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</si>
  <si>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</si>
  <si>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</si>
  <si>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</si>
  <si>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</si>
  <si>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</si>
  <si>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</si>
  <si>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</si>
  <si>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</si>
  <si>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</si>
  <si>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</si>
  <si>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</si>
  <si>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</si>
  <si>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</si>
  <si>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</si>
  <si>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</si>
  <si>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</si>
  <si>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</si>
  <si>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</si>
  <si>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</si>
  <si>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</si>
  <si>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</si>
  <si>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</si>
  <si>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</si>
  <si>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</si>
  <si>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</si>
  <si>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</si>
  <si>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</si>
  <si>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</si>
  <si>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</si>
  <si>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</si>
  <si>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</si>
  <si>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</si>
  <si>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</si>
  <si>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</si>
  <si>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</si>
  <si>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</si>
  <si>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</si>
  <si>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</si>
  <si>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</si>
  <si>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</si>
  <si>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</si>
  <si>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</si>
  <si>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</si>
  <si>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</si>
  <si>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</si>
  <si>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</si>
  <si>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</si>
  <si>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</si>
  <si>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</si>
  <si>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</si>
  <si>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</si>
  <si>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</si>
  <si>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</si>
  <si>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</si>
  <si>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</si>
  <si>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</si>
  <si>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</si>
  <si>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</si>
  <si>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</si>
  <si>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</si>
  <si>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</si>
  <si>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</si>
  <si>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</si>
  <si>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</si>
  <si>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</si>
  <si>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</si>
  <si>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</si>
  <si>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</si>
  <si>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</si>
  <si>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</si>
  <si>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</si>
  <si>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</si>
  <si>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</si>
  <si>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</si>
  <si>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</si>
  <si>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</si>
  <si>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</si>
  <si>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</si>
  <si>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</si>
  <si>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</si>
  <si>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</si>
  <si>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</si>
  <si>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</si>
  <si>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</si>
  <si>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</si>
  <si>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</si>
  <si>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</si>
  <si>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</si>
  <si>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</si>
  <si>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</si>
  <si>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</si>
  <si>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</si>
  <si>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</si>
  <si>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</si>
  <si>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</si>
  <si>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</si>
  <si>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</si>
  <si>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</si>
  <si>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</si>
  <si>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</si>
  <si>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</si>
  <si>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</si>
  <si>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</si>
  <si>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</si>
  <si>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</si>
  <si>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</si>
  <si>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</si>
  <si>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</si>
  <si>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</si>
  <si>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</si>
  <si>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</si>
  <si>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</si>
  <si>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</si>
  <si>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</si>
  <si>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</si>
  <si>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</si>
  <si>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</si>
  <si>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</si>
  <si>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</si>
  <si>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</si>
  <si>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</si>
  <si>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</si>
  <si>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</si>
  <si>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</si>
  <si>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</si>
  <si>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</si>
  <si>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</si>
  <si>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</si>
  <si>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</si>
  <si>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</si>
  <si>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</si>
  <si>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</si>
  <si>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</si>
  <si>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</si>
  <si>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</si>
  <si>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</si>
  <si>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</si>
  <si>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</si>
  <si>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</si>
  <si>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</si>
  <si>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</si>
  <si>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</si>
  <si>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</si>
  <si>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</si>
  <si>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</si>
  <si>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</si>
  <si>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</si>
  <si>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</si>
  <si>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</si>
  <si>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</si>
  <si>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</si>
  <si>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</si>
  <si>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</si>
  <si>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</si>
  <si>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</si>
  <si>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</si>
  <si>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</si>
  <si>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</si>
  <si>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</si>
  <si>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</si>
  <si>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</si>
  <si>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</si>
  <si>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</si>
  <si>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</si>
  <si>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</si>
  <si>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</si>
  <si>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</si>
  <si>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</si>
  <si>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</si>
  <si>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</si>
  <si>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</si>
  <si>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</si>
  <si>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</si>
  <si>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</si>
  <si>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</si>
  <si>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</si>
  <si>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</si>
  <si>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</si>
  <si>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</si>
  <si>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</si>
  <si>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</si>
  <si>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</si>
  <si>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</si>
  <si>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</si>
  <si>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</si>
  <si>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</si>
  <si>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</si>
  <si>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</si>
  <si>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</si>
  <si>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</si>
  <si>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</si>
  <si>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</si>
  <si>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</si>
  <si>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</si>
  <si>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</si>
  <si>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</si>
  <si>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https://www.comunidad.madrid/tacp/</t>
  </si>
  <si>
    <t>Tribunal Administrativo de contratación pública</t>
  </si>
  <si>
    <t>revisamos la accesibilidad de el módulo tecnico TACP</t>
  </si>
  <si>
    <t>Informacion y resolucion de dudas sobre el tribunal administrativo de contratación pública</t>
  </si>
  <si>
    <t>Página Web</t>
  </si>
  <si>
    <t>Inicio</t>
  </si>
  <si>
    <t>TACP</t>
  </si>
  <si>
    <t>https://www.comunidad.madrid/tacp/carta-del-presidente</t>
  </si>
  <si>
    <t>Carta del presidente</t>
  </si>
  <si>
    <t>https://www.comunidad.madrid/tacp/el-tribunal/organización</t>
  </si>
  <si>
    <t>Organización</t>
  </si>
  <si>
    <t>TACP - EL TRIBUNAL - Presentacion Electrónica</t>
  </si>
  <si>
    <t>TACP - EL TRIBUNAL - Acuerdos del TACP</t>
  </si>
  <si>
    <t>TACP - EL TRIBUNAL - Organización</t>
  </si>
  <si>
    <t>TACP - EL TRIBUNAL</t>
  </si>
  <si>
    <t>TACP - EL TRIBUNAL - Guia de procedimiento</t>
  </si>
  <si>
    <t>TACP - EL TRIBUNAL - Preguntas frecuentes</t>
  </si>
  <si>
    <t>TACP - EL TRIBUNAL - Histórico</t>
  </si>
  <si>
    <t>https://www.comunidad.madrid/tacp/faq-page</t>
  </si>
  <si>
    <t>https://www.comunidad.madrid/tacp/el-tribunal/historico-resoluciones-de-las-reclamaciones-de-acceso-informacion-publica</t>
  </si>
  <si>
    <t>https://www.comunidad.madrid/tacp/el-tribunal/guia-informativa-sobre-la-regulacion-del-tribunal-de-contratacion-publica-y-los</t>
  </si>
  <si>
    <t>https://www.comunidad.madrid/tacp/el-tribunal/presentacion-electronica-e-impresos-normalizados</t>
  </si>
  <si>
    <t>https://www.comunidad.madrid/tacp/el-tribunal/acuerdos-del-tacp</t>
  </si>
  <si>
    <t>Acuerdos</t>
  </si>
  <si>
    <t>Presentacion</t>
  </si>
  <si>
    <t>Guia</t>
  </si>
  <si>
    <t>Preguntas</t>
  </si>
  <si>
    <t>Histórico</t>
  </si>
  <si>
    <t>TACP - PUBLICACIONES - Estudios</t>
  </si>
  <si>
    <t>TACP - PUBLICACIONES - Memorias</t>
  </si>
  <si>
    <t>https://www.comunidad.madrid/tacp/estudios</t>
  </si>
  <si>
    <t>https://www.comunidad.madrid/tacp/memorias</t>
  </si>
  <si>
    <t>Estudios</t>
  </si>
  <si>
    <t>Memorias</t>
  </si>
  <si>
    <t>https://www.comunidad.madrid/tacp/busquedaresoluciones</t>
  </si>
  <si>
    <t>TACP - BUSQUEDA DE RESOLUCIONES</t>
  </si>
  <si>
    <t>Busqueda Resol</t>
  </si>
  <si>
    <t>https://www.comunidad.madrid/tacp/noticias</t>
  </si>
  <si>
    <t>TACP - Novedades</t>
  </si>
  <si>
    <t>Novedades</t>
  </si>
  <si>
    <t>Recursos especiales</t>
  </si>
  <si>
    <t>https://www.comunidad.madrid/tacp/novedades/publicacion-recursos-especiales-en-perfil-contratante</t>
  </si>
  <si>
    <t>TACP - Novedades - Publicacion recursos en perfil contratante</t>
  </si>
  <si>
    <t>https://www.comunidad.madrid/es/tacp/normativa</t>
  </si>
  <si>
    <t>TACP - Normativa</t>
  </si>
  <si>
    <t>Normativa</t>
  </si>
  <si>
    <t>https://www.comunidad.madrid/es/tacp/otros-organos-competentes</t>
  </si>
  <si>
    <t>TACP - Otros organos competentes</t>
  </si>
  <si>
    <t>https://www.comunidad.madrid/es/tacp/contact</t>
  </si>
  <si>
    <t>TACP - Contacte con nosotros</t>
  </si>
  <si>
    <t>Organos Competentes</t>
  </si>
  <si>
    <t>https://www.comunidad.madrid/es/tacp/accesibilidad</t>
  </si>
  <si>
    <t>Accesibilidad</t>
  </si>
  <si>
    <t>TACP - Accesibilidad</t>
  </si>
  <si>
    <t>Resolucion</t>
  </si>
  <si>
    <t>Documento no web</t>
  </si>
  <si>
    <t>TACP - Buscador de resoluciones - Resolucion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</si>
</sst>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xf numFmtId="0" fontId="25" fillId="2" borderId="10" xfId="21" applyFont="1" applyBorder="1" applyProtection="1">
      <alignment horizontal="center" vertical="center"/>
      <protection locked="0"/>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08" zoomScale="70" zoomScaleNormal="70" workbookViewId="0">
      <selection activeCell="G238" sqref="G23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1" t="s">
        <v>241</v>
      </c>
      <c r="C8" s="231"/>
      <c r="D8" s="231"/>
      <c r="E8" s="231"/>
      <c r="F8" s="231"/>
      <c r="G8" s="231"/>
      <c r="H8" s="231"/>
      <c r="I8" s="231"/>
      <c r="J8" s="231"/>
      <c r="K8" s="231"/>
      <c r="L8" s="231"/>
      <c r="M8" s="231"/>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COUNTIF($B$18:$B$243,B12)</f>
        <v>6</v>
      </c>
      <c r="D12" s="26"/>
      <c r="E12" s="14"/>
      <c r="F12" s="199" t="s">
        <v>94</v>
      </c>
      <c r="G12" s="72">
        <f ca="1">J20+J58+J96+J134+J172+J210</f>
        <v>0</v>
      </c>
      <c r="H12" s="42">
        <f ca="1">IF(($G$15+$K$15)=0,0,G12/($G$15+$K$15))</f>
        <v>0</v>
      </c>
      <c r="I12" s="26"/>
      <c r="J12" s="183" t="s">
        <v>95</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f>
        <v>0</v>
      </c>
      <c r="H13" s="42">
        <f ca="1">IF(($G$15+$K$15)=0,0,G13/($G$15+$K$15))</f>
        <v>0</v>
      </c>
      <c r="I13" s="26"/>
      <c r="J13" s="183" t="s">
        <v>97</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98</v>
      </c>
      <c r="C14" s="201">
        <f>C12+C13</f>
        <v>6</v>
      </c>
      <c r="D14" s="26"/>
      <c r="E14" s="14"/>
      <c r="F14" s="199" t="s">
        <v>99</v>
      </c>
      <c r="G14" s="72">
        <f ca="1">H20+H58+H96+H134+H172+H210</f>
        <v>102</v>
      </c>
      <c r="H14" s="42">
        <f ca="1">IF(($G$15+$K$15)=0,0,G14/($G$15+$K$15))</f>
        <v>1</v>
      </c>
      <c r="I14" s="26"/>
      <c r="J14" s="183" t="s">
        <v>100</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102</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101</v>
      </c>
      <c r="B18" s="23" t="s">
        <v>93</v>
      </c>
      <c r="C18" s="24" t="s">
        <v>242</v>
      </c>
      <c r="D18" s="25" t="s">
        <v>103</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106</v>
      </c>
      <c r="E19" s="79" t="str">
        <f t="shared" ref="E19:E53" si="0">IF(D19&lt;&gt;"",IF(AND(B19&lt;&gt;"",C19&lt;&gt;""),"","ERR"),"")</f>
        <v/>
      </c>
      <c r="F19" s="86" t="s">
        <v>104</v>
      </c>
      <c r="G19" s="87" t="s">
        <v>105</v>
      </c>
      <c r="H19" s="88" t="s">
        <v>106</v>
      </c>
      <c r="I19" s="89" t="s">
        <v>96</v>
      </c>
      <c r="J19" s="90" t="s">
        <v>94</v>
      </c>
      <c r="K19" s="179" t="s">
        <v>100</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106</v>
      </c>
      <c r="E20" s="79" t="str">
        <f t="shared" si="0"/>
        <v/>
      </c>
      <c r="F20" s="91">
        <f ca="1">COUNTIF($D19:INDIRECT("$D" &amp;  SUM(ROW()-1,'03.Muestra'!$D$45)-1),F19)</f>
        <v>0</v>
      </c>
      <c r="G20" s="91">
        <f ca="1">COUNTIF($D19:INDIRECT("$D" &amp;  SUM(ROW()-1,'03.Muestra'!$D$45)-1),G19)</f>
        <v>0</v>
      </c>
      <c r="H20" s="91">
        <f ca="1">COUNTIF($D19:INDIRECT("$D" &amp;  SUM(ROW()-1,'03.Muestra'!$D$45)-1),H19)</f>
        <v>17</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106</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106</v>
      </c>
      <c r="E22" s="79" t="str">
        <f t="shared" si="0"/>
        <v/>
      </c>
      <c r="G22" s="18"/>
      <c r="H22" s="18"/>
      <c r="I22" s="18"/>
      <c r="J22" s="18"/>
      <c r="K22" s="170" t="s">
        <v>104</v>
      </c>
      <c r="L22" s="92" t="s">
        <v>107</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106</v>
      </c>
      <c r="E23" s="79" t="str">
        <f t="shared" si="0"/>
        <v/>
      </c>
      <c r="G23" s="18"/>
      <c r="H23" s="18"/>
      <c r="I23" s="18"/>
      <c r="J23" s="18"/>
      <c r="K23" s="88" t="s">
        <v>106</v>
      </c>
      <c r="L23" s="92" t="s">
        <v>108</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106</v>
      </c>
      <c r="E24" s="79" t="str">
        <f t="shared" si="0"/>
        <v/>
      </c>
      <c r="G24" s="18"/>
      <c r="H24" s="18"/>
      <c r="I24" s="18"/>
      <c r="J24" s="18"/>
      <c r="K24" s="87" t="s">
        <v>105</v>
      </c>
      <c r="L24" s="92" t="s">
        <v>109</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106</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106</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106</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106</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106</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106</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106</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106</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106</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106</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106</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101</v>
      </c>
      <c r="B56" s="23" t="s">
        <v>93</v>
      </c>
      <c r="C56" s="24" t="s">
        <v>243</v>
      </c>
      <c r="D56" s="25" t="s">
        <v>103</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79" t="s">
        <v>100</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101</v>
      </c>
      <c r="B94" s="23" t="s">
        <v>93</v>
      </c>
      <c r="C94" s="24" t="s">
        <v>244</v>
      </c>
      <c r="D94" s="25" t="s">
        <v>103</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79" t="s">
        <v>100</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101</v>
      </c>
      <c r="B132" s="23" t="s">
        <v>93</v>
      </c>
      <c r="C132" s="24" t="s">
        <v>245</v>
      </c>
      <c r="D132" s="25" t="s">
        <v>103</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106</v>
      </c>
      <c r="E133" s="79" t="str">
        <f t="shared" ref="E133:E167" si="6">IF(D133&lt;&gt;"",IF(AND(B133&lt;&gt;"",C133&lt;&gt;""),"","ERR"),"")</f>
        <v/>
      </c>
      <c r="F133" s="86" t="s">
        <v>104</v>
      </c>
      <c r="G133" s="87" t="s">
        <v>105</v>
      </c>
      <c r="H133" s="88" t="s">
        <v>106</v>
      </c>
      <c r="I133" s="89" t="s">
        <v>96</v>
      </c>
      <c r="J133" s="90" t="s">
        <v>94</v>
      </c>
      <c r="K133" s="179" t="s">
        <v>100</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106</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106</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106</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106</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106</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106</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106</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106</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106</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106</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106</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106</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106</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106</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106</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101</v>
      </c>
      <c r="B170" s="23" t="s">
        <v>93</v>
      </c>
      <c r="C170" s="24" t="s">
        <v>246</v>
      </c>
      <c r="D170" s="25" t="s">
        <v>103</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106</v>
      </c>
      <c r="E171" s="79" t="str">
        <f t="shared" ref="E171:E205" si="8">IF(D171&lt;&gt;"",IF(AND(B171&lt;&gt;"",C171&lt;&gt;""),"","ERR"),"")</f>
        <v/>
      </c>
      <c r="F171" s="86" t="s">
        <v>104</v>
      </c>
      <c r="G171" s="87" t="s">
        <v>105</v>
      </c>
      <c r="H171" s="88" t="s">
        <v>106</v>
      </c>
      <c r="I171" s="89" t="s">
        <v>96</v>
      </c>
      <c r="J171" s="90" t="s">
        <v>94</v>
      </c>
      <c r="K171" s="179" t="s">
        <v>100</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106</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106</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106</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106</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106</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106</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106</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106</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106</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106</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106</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106</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106</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106</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106</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101</v>
      </c>
      <c r="B208" s="23" t="s">
        <v>93</v>
      </c>
      <c r="C208" s="24" t="s">
        <v>247</v>
      </c>
      <c r="D208" s="25" t="s">
        <v>103</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106</v>
      </c>
      <c r="E209" s="79" t="str">
        <f t="shared" ref="E209:E243" si="10">IF(D209&lt;&gt;"",IF(AND(B209&lt;&gt;"",C209&lt;&gt;""),"","ERR"),"")</f>
        <v/>
      </c>
      <c r="F209" s="86" t="s">
        <v>104</v>
      </c>
      <c r="G209" s="87" t="s">
        <v>105</v>
      </c>
      <c r="H209" s="88" t="s">
        <v>106</v>
      </c>
      <c r="I209" s="89" t="s">
        <v>96</v>
      </c>
      <c r="J209" s="90" t="s">
        <v>94</v>
      </c>
      <c r="K209" s="179" t="s">
        <v>100</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Carta del presidente</v>
      </c>
      <c r="C210" s="85" t="str" cm="1">
        <f t="array" ref="C210">IFERROR(INDEX('03.Muestra'!$F$8:$F$42,SMALL(IF("Página Web"='03.Muestra'!$D$8:$D$42,ROW('03.Muestra'!$F$8:$F$42)-MIN(ROW('03.Muestra'!$D$8:$D$42))+1,""),ROW()-208)),"")</f>
        <v>https://www.comunidad.madrid/tacp/carta-del-presidente</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v>
      </c>
      <c r="C211" s="85" t="str" cm="1">
        <f t="array" ref="C211">IFERROR(INDEX('03.Muestra'!$F$8:$F$42,SMALL(IF("Página Web"='03.Muestra'!$D$8:$D$42,ROW('03.Muestra'!$F$8:$F$42)-MIN(ROW('03.Muestra'!$D$8:$D$42))+1,""),ROW()-208)),"")</f>
        <v>https://www.comunidad.madrid/tacp/el-tribunal/organización</v>
      </c>
      <c r="D211" s="99" t="s">
        <v>106</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Acuerdos</v>
      </c>
      <c r="C212" s="85" t="str" cm="1">
        <f t="array" ref="C212">IFERROR(INDEX('03.Muestra'!$F$8:$F$42,SMALL(IF("Página Web"='03.Muestra'!$D$8:$D$42,ROW('03.Muestra'!$F$8:$F$42)-MIN(ROW('03.Muestra'!$D$8:$D$42))+1,""),ROW()-208)),"")</f>
        <v>https://www.comunidad.madrid/tacp/el-tribunal/acuerdos-del-tacp</v>
      </c>
      <c r="D212" s="99" t="s">
        <v>106</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Presentacion</v>
      </c>
      <c r="C213" s="85" t="str" cm="1">
        <f t="array" ref="C213">IFERROR(INDEX('03.Muestra'!$F$8:$F$42,SMALL(IF("Página Web"='03.Muestra'!$D$8:$D$42,ROW('03.Muestra'!$F$8:$F$42)-MIN(ROW('03.Muestra'!$D$8:$D$42))+1,""),ROW()-208)),"")</f>
        <v>https://www.comunidad.madrid/tacp/el-tribunal/presentacion-electronica-e-impresos-normalizados</v>
      </c>
      <c r="D213" s="99" t="s">
        <v>106</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Guia</v>
      </c>
      <c r="C214" s="85" t="str" cm="1">
        <f t="array" ref="C214">IFERROR(INDEX('03.Muestra'!$F$8:$F$42,SMALL(IF("Página Web"='03.Muestra'!$D$8:$D$42,ROW('03.Muestra'!$F$8:$F$42)-MIN(ROW('03.Muestra'!$D$8:$D$42))+1,""),ROW()-208)),"")</f>
        <v>https://www.comunidad.madrid/tacp/el-tribunal/guia-informativa-sobre-la-regulacion-del-tribunal-de-contratacion-publica-y-los</v>
      </c>
      <c r="D214" s="99" t="s">
        <v>106</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Preguntas</v>
      </c>
      <c r="C215" s="85" t="str" cm="1">
        <f t="array" ref="C215">IFERROR(INDEX('03.Muestra'!$F$8:$F$42,SMALL(IF("Página Web"='03.Muestra'!$D$8:$D$42,ROW('03.Muestra'!$F$8:$F$42)-MIN(ROW('03.Muestra'!$D$8:$D$42))+1,""),ROW()-208)),"")</f>
        <v>https://www.comunidad.madrid/tacp/faq-page</v>
      </c>
      <c r="D215" s="99" t="s">
        <v>106</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Histórico</v>
      </c>
      <c r="C216" s="85" t="str" cm="1">
        <f t="array" ref="C216">IFERROR(INDEX('03.Muestra'!$F$8:$F$42,SMALL(IF("Página Web"='03.Muestra'!$D$8:$D$42,ROW('03.Muestra'!$F$8:$F$42)-MIN(ROW('03.Muestra'!$D$8:$D$42))+1,""),ROW()-208)),"")</f>
        <v>https://www.comunidad.madrid/tacp/el-tribunal/historico-resoluciones-de-las-reclamaciones-de-acceso-informacion-publica</v>
      </c>
      <c r="D216" s="99" t="s">
        <v>106</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Estudios</v>
      </c>
      <c r="C217" s="85" t="str" cm="1">
        <f t="array" ref="C217">IFERROR(INDEX('03.Muestra'!$F$8:$F$42,SMALL(IF("Página Web"='03.Muestra'!$D$8:$D$42,ROW('03.Muestra'!$F$8:$F$42)-MIN(ROW('03.Muestra'!$D$8:$D$42))+1,""),ROW()-208)),"")</f>
        <v>https://www.comunidad.madrid/tacp/estudios</v>
      </c>
      <c r="D217" s="99" t="s">
        <v>106</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Memorias</v>
      </c>
      <c r="C218" s="85" t="str" cm="1">
        <f t="array" ref="C218">IFERROR(INDEX('03.Muestra'!$F$8:$F$42,SMALL(IF("Página Web"='03.Muestra'!$D$8:$D$42,ROW('03.Muestra'!$F$8:$F$42)-MIN(ROW('03.Muestra'!$D$8:$D$42))+1,""),ROW()-208)),"")</f>
        <v>https://www.comunidad.madrid/tacp/memorias</v>
      </c>
      <c r="D218" s="99" t="s">
        <v>106</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Busqueda Resol</v>
      </c>
      <c r="C219" s="85" t="str" cm="1">
        <f t="array" ref="C219">IFERROR(INDEX('03.Muestra'!$F$8:$F$42,SMALL(IF("Página Web"='03.Muestra'!$D$8:$D$42,ROW('03.Muestra'!$F$8:$F$42)-MIN(ROW('03.Muestra'!$D$8:$D$42))+1,""),ROW()-208)),"")</f>
        <v>https://www.comunidad.madrid/tacp/busquedaresoluciones</v>
      </c>
      <c r="D219" s="99" t="s">
        <v>106</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Novedades</v>
      </c>
      <c r="C220" s="85" t="str" cm="1">
        <f t="array" ref="C220">IFERROR(INDEX('03.Muestra'!$F$8:$F$42,SMALL(IF("Página Web"='03.Muestra'!$D$8:$D$42,ROW('03.Muestra'!$F$8:$F$42)-MIN(ROW('03.Muestra'!$D$8:$D$42))+1,""),ROW()-208)),"")</f>
        <v>https://www.comunidad.madrid/tacp/noticias</v>
      </c>
      <c r="D220" s="99" t="s">
        <v>106</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Recursos especiales</v>
      </c>
      <c r="C221" s="85" t="str" cm="1">
        <f t="array" ref="C221">IFERROR(INDEX('03.Muestra'!$F$8:$F$42,SMALL(IF("Página Web"='03.Muestra'!$D$8:$D$42,ROW('03.Muestra'!$F$8:$F$42)-MIN(ROW('03.Muestra'!$D$8:$D$42))+1,""),ROW()-208)),"")</f>
        <v>https://www.comunidad.madrid/tacp/novedades/publicacion-recursos-especiales-en-perfil-contratante</v>
      </c>
      <c r="D221" s="99" t="s">
        <v>106</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Normativa</v>
      </c>
      <c r="C222" s="85" t="str" cm="1">
        <f t="array" ref="C222">IFERROR(INDEX('03.Muestra'!$F$8:$F$42,SMALL(IF("Página Web"='03.Muestra'!$D$8:$D$42,ROW('03.Muestra'!$F$8:$F$42)-MIN(ROW('03.Muestra'!$D$8:$D$42))+1,""),ROW()-208)),"")</f>
        <v>https://www.comunidad.madrid/es/tacp/normativa</v>
      </c>
      <c r="D222" s="99" t="s">
        <v>106</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Organos Competentes</v>
      </c>
      <c r="C223" s="85" t="str" cm="1">
        <f t="array" ref="C223">IFERROR(INDEX('03.Muestra'!$F$8:$F$42,SMALL(IF("Página Web"='03.Muestra'!$D$8:$D$42,ROW('03.Muestra'!$F$8:$F$42)-MIN(ROW('03.Muestra'!$D$8:$D$42))+1,""),ROW()-208)),"")</f>
        <v>https://www.comunidad.madrid/es/tacp/otros-organos-competentes</v>
      </c>
      <c r="D223" s="99" t="s">
        <v>106</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https://www.comunidad.madrid/es/tacp/contact</v>
      </c>
      <c r="D224" s="99" t="s">
        <v>106</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Accesibilidad</v>
      </c>
      <c r="C225" s="85" t="str" cm="1">
        <f t="array" ref="C225">IFERROR(INDEX('03.Muestra'!$F$8:$F$42,SMALL(IF("Página Web"='03.Muestra'!$D$8:$D$42,ROW('03.Muestra'!$F$8:$F$42)-MIN(ROW('03.Muestra'!$D$8:$D$42))+1,""),ROW()-208)),"")</f>
        <v>https://www.comunidad.madrid/es/tacp/accesibilidad</v>
      </c>
      <c r="D225" s="99" t="s">
        <v>106</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ref="D226:D243" si="11">IF(AND(B226&lt;&gt;"",C226&lt;&gt;""),"N/T","")</f>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204" zoomScale="65" zoomScaleNormal="65" workbookViewId="0">
      <selection activeCell="D172" sqref="D172:D187"/>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248</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COUNTIF($B$18:$B$4000,B12)</f>
        <v>5</v>
      </c>
      <c r="D12" s="26"/>
      <c r="E12" s="14"/>
      <c r="F12" s="199" t="s">
        <v>94</v>
      </c>
      <c r="G12" s="72">
        <f ca="1">J20+J58+J96+J134+J172</f>
        <v>85</v>
      </c>
      <c r="H12" s="42">
        <f ca="1">IF(($G$15+$K$15)=0,0,G12/($G$15+$K$15))</f>
        <v>1</v>
      </c>
      <c r="I12" s="26"/>
      <c r="J12" s="183" t="s">
        <v>95</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f>
        <v>0</v>
      </c>
      <c r="H13" s="42">
        <f ca="1">IF(($G$15+$K$15)=0,0,G13/($G$15+$K$15))</f>
        <v>0</v>
      </c>
      <c r="I13" s="26"/>
      <c r="J13" s="183" t="s">
        <v>97</v>
      </c>
      <c r="K13" s="72">
        <f ca="1">F20+F58+F96+F134+F172</f>
        <v>0</v>
      </c>
      <c r="L13" s="42">
        <f ca="1">IF(($G$15+$K$15)=0,0,K13/($G$15+$K$15))</f>
        <v>0</v>
      </c>
      <c r="M13" s="18"/>
      <c r="N13" s="18"/>
      <c r="O13" s="18"/>
      <c r="P13" s="18"/>
      <c r="Q13" s="18"/>
      <c r="R13" s="18"/>
      <c r="U13" s="18"/>
      <c r="V13" s="18"/>
      <c r="W13" s="18"/>
      <c r="X13" s="18"/>
      <c r="Y13" s="18"/>
    </row>
    <row r="14" spans="1:64" ht="12" customHeight="1" thickBot="1">
      <c r="B14" s="200" t="s">
        <v>98</v>
      </c>
      <c r="C14" s="201">
        <f>C12+C13</f>
        <v>5</v>
      </c>
      <c r="D14" s="26"/>
      <c r="E14" s="14"/>
      <c r="F14" s="199" t="s">
        <v>99</v>
      </c>
      <c r="G14" s="72">
        <f ca="1">H20+H58+H96+H134+H172</f>
        <v>0</v>
      </c>
      <c r="H14" s="42">
        <f ca="1">IF(($G$15+$K$15)=0,0,G14/($G$15+$K$15))</f>
        <v>0</v>
      </c>
      <c r="I14" s="26"/>
      <c r="J14" s="183" t="s">
        <v>100</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85</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101</v>
      </c>
      <c r="B18" s="23" t="s">
        <v>93</v>
      </c>
      <c r="C18" s="24" t="s">
        <v>249</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94</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94</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94</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94</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250</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94</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17</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94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94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94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94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94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94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94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251</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94</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94</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17</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94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94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94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94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94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94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94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94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94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94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94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94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94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94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252</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94</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94</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17</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94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94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94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94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94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94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94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94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94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94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94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94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94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94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94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253</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94</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94</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17</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94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94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94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94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94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94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94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94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94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94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94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94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94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94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94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2" zoomScale="70" zoomScaleNormal="70" workbookViewId="0">
      <selection activeCell="N2" sqref="N2"/>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254</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2" t="s">
        <v>255</v>
      </c>
      <c r="L6" s="232"/>
      <c r="M6" s="232"/>
      <c r="N6" s="48"/>
      <c r="O6" s="232" t="s">
        <v>256</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3" t="s">
        <v>88</v>
      </c>
      <c r="D7" s="234"/>
      <c r="E7" s="205" t="s">
        <v>257</v>
      </c>
      <c r="F7" s="205" t="s">
        <v>258</v>
      </c>
      <c r="G7" s="205" t="s">
        <v>99</v>
      </c>
      <c r="H7" s="205" t="s">
        <v>259</v>
      </c>
      <c r="I7" s="197" t="s">
        <v>260</v>
      </c>
      <c r="J7" s="186" t="s">
        <v>261</v>
      </c>
      <c r="K7" s="206" t="s">
        <v>262</v>
      </c>
      <c r="L7" s="106" t="s">
        <v>263</v>
      </c>
      <c r="M7" s="207" t="s">
        <v>91</v>
      </c>
      <c r="O7" s="206" t="s">
        <v>262</v>
      </c>
      <c r="P7" s="106" t="s">
        <v>263</v>
      </c>
      <c r="Q7" s="207" t="s">
        <v>91</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5" t="s">
        <v>264</v>
      </c>
      <c r="D8" s="236"/>
      <c r="E8" s="38" t="str">
        <f ca="1">CONCATENATE(COUNTIF(E55:CR55,"CONFORME")," (",ROUND(COUNTIF(E55:CR55,"CONFORME")*100/COUNTA($E$19:CR$19),2)," %)")</f>
        <v>31 (33,7 %)</v>
      </c>
      <c r="F8" s="38" t="str">
        <f ca="1">CONCATENATE(COUNTIF(E55:CR55,"NO CONFORME")," (",ROUND(COUNTIF(E55:CR55,"NO CONFORME")*100/COUNTA($E$19:CR$19),2)," %)")</f>
        <v>3 (3,26 %)</v>
      </c>
      <c r="G8" s="39" t="str">
        <f ca="1">CONCATENATE(COUNTIF(E55:CR55,"N/A")," (",ROUND(COUNTIF(E55:CR55,"N/A")*100/COUNTA($E$19:CR$19),2)," %)")</f>
        <v>58 (63,04 %)</v>
      </c>
      <c r="H8" s="39">
        <f ca="1">COUNTIF(E55:CR55,"ERROR")</f>
        <v>0</v>
      </c>
      <c r="I8" s="40">
        <f ca="1">COUNTIF(E55:CR55,"EN CURSO")</f>
        <v>0</v>
      </c>
      <c r="J8" s="187">
        <f ca="1">SUM(VALUE(LEFT(E8,SEARCH(" ",E8)-1)),VALUE(LEFT(F8,SEARCH(" ",F8)-1)))</f>
        <v>34</v>
      </c>
      <c r="K8" s="41" t="s">
        <v>265</v>
      </c>
      <c r="L8" s="38">
        <f ca="1">COUNTIF( $E$20:INDIRECT("$CR$" &amp;  SUM(19,COUNTIFS(B20:B54,"&lt;&gt;"))),"Pasa")+ COUNTIF($E$61:INDIRECT("$AW$" &amp;  SUM(60,COUNTIFS(B61:B95,"&lt;&gt;"))),"Pasa")</f>
        <v>488</v>
      </c>
      <c r="M8" s="42">
        <f ca="1">IF(($L$11+$P$11)=0,0,L8/($L$11+$P$11))</f>
        <v>0.30329397141081416</v>
      </c>
      <c r="N8" s="26"/>
      <c r="O8" s="41" t="s">
        <v>95</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1" t="s">
        <v>266</v>
      </c>
      <c r="D9" s="242"/>
      <c r="E9" s="140" t="str">
        <f ca="1">CONCATENATE(COUNTIF(E96:AW96,"CONFORME")," (",ROUND(COUNTIF(E96:AW96,"CONFORME")*100/COUNTA($E$60:AW$60),2)," %)")</f>
        <v>6 (13,33 %)</v>
      </c>
      <c r="F9" s="140" t="str">
        <f ca="1">CONCATENATE(COUNTIF(E96:AW96,"NO CONFORME")," (",ROUND(COUNTIF(E96:AW96,"NO CONFORME")*100/COUNTA($E$60:AW$60),2)," %)")</f>
        <v>1 (2,22 %)</v>
      </c>
      <c r="G9" s="189" t="str">
        <f ca="1">CONCATENATE(COUNTIF(E96:AW96,"N/A")," (",ROUND(COUNTIF(E96:AW96,"N/A")*100/COUNTA($E$60:AW$60),2)," %)")</f>
        <v>38 (84,44 %)</v>
      </c>
      <c r="H9" s="189">
        <f ca="1">COUNTIF(E96:AW96,"ERROR")</f>
        <v>0</v>
      </c>
      <c r="I9" s="190">
        <f ca="1">COUNTIF(E96:AW96,"EN CURSO")</f>
        <v>0</v>
      </c>
      <c r="J9" s="187">
        <f ca="1">SUM(VALUE(LEFT(E9,SEARCH(" ",E9)-1)),VALUE(LEFT(F9,SEARCH(" ",F9)-1)))</f>
        <v>7</v>
      </c>
      <c r="K9" s="41" t="s">
        <v>96</v>
      </c>
      <c r="L9" s="38">
        <f ca="1">COUNTIF( $E$20:INDIRECT("$CR$" &amp;  SUM(19,COUNTIFS(B20:B54,"&lt;&gt;"))),"Falla")+ COUNTIF($E$61:INDIRECT("$AW$" &amp;  SUM(60,COUNTIFS(B61:B95,"&lt;&gt;"))),"Falla")</f>
        <v>37</v>
      </c>
      <c r="M9" s="42">
        <f ca="1">IF(($L$11+$P$11)=0,0,L9/($L$11+$P$11))</f>
        <v>2.2995649471721565E-2</v>
      </c>
      <c r="N9" s="26"/>
      <c r="O9" s="41" t="s">
        <v>97</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6" t="s">
        <v>267</v>
      </c>
      <c r="D10" s="247"/>
      <c r="E10" s="192" t="str">
        <f ca="1">CONCATENATE(ROUND(E11/137*100,2)," %")</f>
        <v>27,01 %</v>
      </c>
      <c r="F10" s="192" t="str">
        <f ca="1">CONCATENATE(ROUND(F11/137*100,2)," %")</f>
        <v>2,92 %</v>
      </c>
      <c r="G10" s="192" t="str">
        <f ca="1">CONCATENATE(ROUND(G11/137*100,2)," %")</f>
        <v>70,07 %</v>
      </c>
      <c r="H10" s="192" t="str">
        <f ca="1">CONCATENATE(ROUND(H11/137*100,2)," %")</f>
        <v>0 %</v>
      </c>
      <c r="I10" s="194" t="str">
        <f ca="1">CONCATENATE(ROUND(I11/137*100,2)," %")</f>
        <v>0 %</v>
      </c>
      <c r="J10" s="195"/>
      <c r="K10" s="41" t="s">
        <v>99</v>
      </c>
      <c r="L10" s="38">
        <f ca="1">COUNTIF( $E$20:INDIRECT("$CR$" &amp;  SUM(19,COUNTIFS(B20:B54,"&lt;&gt;"))),"N/A")+COUNTIF($E$61:INDIRECT("$AW$" &amp;  SUM(60,COUNTIFS(B61:B95,"&lt;&gt;"))),"N/A")</f>
        <v>1084</v>
      </c>
      <c r="M10" s="42">
        <f ca="1">IF(($L$11+$P$11)=0,0,L10/($L$11+$P$11))</f>
        <v>0.67371037911746423</v>
      </c>
      <c r="N10" s="26"/>
      <c r="O10" s="139" t="s">
        <v>100</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0"/>
      <c r="D11" s="240"/>
      <c r="E11" s="193">
        <f ca="1">SUM(VALUE(LEFT(E8,SEARCH(" ",E8)-1)),VALUE(LEFT(E9,SEARCH(" ",E9)-1)))</f>
        <v>37</v>
      </c>
      <c r="F11" s="193">
        <f ca="1">SUM(VALUE(LEFT(F8,SEARCH(" ",F8)-1)),VALUE(LEFT(F9,SEARCH(" ",F9)-1)))</f>
        <v>4</v>
      </c>
      <c r="G11" s="193">
        <f ca="1">SUM(VALUE(LEFT(G8,SEARCH(" ",G8)-1)),VALUE(LEFT(G9,SEARCH(" ",G9)-1)))</f>
        <v>96</v>
      </c>
      <c r="H11" s="193">
        <f ca="1">SUM(H8:H9)</f>
        <v>0</v>
      </c>
      <c r="I11" s="193">
        <f ca="1">SUM(I8:I9)</f>
        <v>0</v>
      </c>
      <c r="K11" s="43" t="s">
        <v>268</v>
      </c>
      <c r="L11" s="203">
        <f ca="1">SUM(L8:L10)</f>
        <v>1609</v>
      </c>
      <c r="M11" s="204">
        <f ca="1">SUM(M8:M10)</f>
        <v>1</v>
      </c>
      <c r="N11" s="26"/>
      <c r="O11" s="43" t="s">
        <v>268</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269</v>
      </c>
      <c r="E13" s="18"/>
      <c r="F13" s="243" t="s">
        <v>270</v>
      </c>
      <c r="G13" s="244"/>
      <c r="H13" s="244"/>
      <c r="I13" s="245"/>
      <c r="J13" s="18"/>
      <c r="K13" s="243" t="s">
        <v>271</v>
      </c>
      <c r="L13" s="245"/>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9.09</v>
      </c>
      <c r="G14" s="238"/>
      <c r="H14" s="238"/>
      <c r="I14" s="239"/>
      <c r="J14" s="18"/>
      <c r="K14" s="237" t="str">
        <f>'03.Muestra'!D52</f>
        <v>NO</v>
      </c>
      <c r="L14" s="239"/>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264</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272</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101</v>
      </c>
      <c r="C19" s="72" t="s">
        <v>273</v>
      </c>
      <c r="D19" s="72" t="s">
        <v>274</v>
      </c>
      <c r="E19" s="72" t="s">
        <v>275</v>
      </c>
      <c r="F19" s="72" t="s">
        <v>276</v>
      </c>
      <c r="G19" s="72" t="s">
        <v>277</v>
      </c>
      <c r="H19" s="72" t="s">
        <v>278</v>
      </c>
      <c r="I19" s="72" t="s">
        <v>279</v>
      </c>
      <c r="J19" s="72" t="s">
        <v>280</v>
      </c>
      <c r="K19" s="72" t="s">
        <v>281</v>
      </c>
      <c r="L19" s="72" t="s">
        <v>282</v>
      </c>
      <c r="M19" s="72" t="s">
        <v>283</v>
      </c>
      <c r="N19" s="72" t="s">
        <v>284</v>
      </c>
      <c r="O19" s="72" t="s">
        <v>285</v>
      </c>
      <c r="P19" s="72" t="s">
        <v>286</v>
      </c>
      <c r="Q19" s="72" t="s">
        <v>287</v>
      </c>
      <c r="R19" s="72" t="s">
        <v>288</v>
      </c>
      <c r="S19" s="72" t="s">
        <v>289</v>
      </c>
      <c r="T19" s="72" t="s">
        <v>290</v>
      </c>
      <c r="U19" s="72" t="s">
        <v>291</v>
      </c>
      <c r="V19" s="72" t="s">
        <v>292</v>
      </c>
      <c r="W19" s="72" t="s">
        <v>293</v>
      </c>
      <c r="X19" s="72" t="s">
        <v>294</v>
      </c>
      <c r="Y19" s="72" t="s">
        <v>295</v>
      </c>
      <c r="Z19" s="72" t="s">
        <v>296</v>
      </c>
      <c r="AA19" s="72" t="s">
        <v>297</v>
      </c>
      <c r="AB19" s="72" t="s">
        <v>298</v>
      </c>
      <c r="AC19" s="72" t="s">
        <v>299</v>
      </c>
      <c r="AD19" s="72" t="s">
        <v>300</v>
      </c>
      <c r="AE19" s="72" t="s">
        <v>301</v>
      </c>
      <c r="AF19" s="72" t="s">
        <v>302</v>
      </c>
      <c r="AG19" s="72" t="s">
        <v>303</v>
      </c>
      <c r="AH19" s="72" t="s">
        <v>304</v>
      </c>
      <c r="AI19" s="72" t="s">
        <v>305</v>
      </c>
      <c r="AJ19" s="72" t="s">
        <v>306</v>
      </c>
      <c r="AK19" s="72" t="s">
        <v>307</v>
      </c>
      <c r="AL19" s="72" t="s">
        <v>308</v>
      </c>
      <c r="AM19" s="72" t="s">
        <v>309</v>
      </c>
      <c r="AN19" s="72" t="s">
        <v>310</v>
      </c>
      <c r="AO19" s="72" t="s">
        <v>311</v>
      </c>
      <c r="AP19" s="72" t="s">
        <v>312</v>
      </c>
      <c r="AQ19" s="72" t="s">
        <v>313</v>
      </c>
      <c r="AR19" s="72" t="s">
        <v>314</v>
      </c>
      <c r="AS19" s="72" t="s">
        <v>315</v>
      </c>
      <c r="AT19" s="72" t="s">
        <v>316</v>
      </c>
      <c r="AU19" s="72" t="s">
        <v>317</v>
      </c>
      <c r="AV19" s="72" t="s">
        <v>318</v>
      </c>
      <c r="AW19" s="72" t="s">
        <v>319</v>
      </c>
      <c r="AX19" s="72" t="s">
        <v>320</v>
      </c>
      <c r="AY19" s="72" t="s">
        <v>321</v>
      </c>
      <c r="AZ19" s="72" t="s">
        <v>322</v>
      </c>
      <c r="BA19" s="72" t="s">
        <v>323</v>
      </c>
      <c r="BB19" s="72" t="s">
        <v>324</v>
      </c>
      <c r="BC19" s="72" t="s">
        <v>325</v>
      </c>
      <c r="BD19" s="72" t="s">
        <v>326</v>
      </c>
      <c r="BE19" s="72" t="s">
        <v>327</v>
      </c>
      <c r="BF19" s="72" t="s">
        <v>328</v>
      </c>
      <c r="BG19" s="72" t="s">
        <v>329</v>
      </c>
      <c r="BH19" s="72" t="s">
        <v>330</v>
      </c>
      <c r="BI19" s="72" t="s">
        <v>331</v>
      </c>
      <c r="BJ19" s="72" t="s">
        <v>332</v>
      </c>
      <c r="BK19" s="72" t="s">
        <v>333</v>
      </c>
      <c r="BL19" s="72" t="s">
        <v>334</v>
      </c>
      <c r="BM19" s="72" t="s">
        <v>335</v>
      </c>
      <c r="BN19" s="72" t="s">
        <v>336</v>
      </c>
      <c r="BO19" s="72" t="s">
        <v>337</v>
      </c>
      <c r="BP19" s="72" t="s">
        <v>338</v>
      </c>
      <c r="BQ19" s="72" t="s">
        <v>339</v>
      </c>
      <c r="BR19" s="72" t="s">
        <v>340</v>
      </c>
      <c r="BS19" s="72" t="s">
        <v>341</v>
      </c>
      <c r="BT19" s="72" t="s">
        <v>342</v>
      </c>
      <c r="BU19" s="72" t="s">
        <v>343</v>
      </c>
      <c r="BV19" s="72" t="s">
        <v>344</v>
      </c>
      <c r="BW19" s="72" t="s">
        <v>345</v>
      </c>
      <c r="BX19" s="72" t="s">
        <v>346</v>
      </c>
      <c r="BY19" s="72" t="s">
        <v>347</v>
      </c>
      <c r="BZ19" s="72" t="s">
        <v>348</v>
      </c>
      <c r="CA19" s="72" t="s">
        <v>349</v>
      </c>
      <c r="CB19" s="72" t="s">
        <v>350</v>
      </c>
      <c r="CC19" s="72" t="s">
        <v>351</v>
      </c>
      <c r="CD19" s="72" t="s">
        <v>352</v>
      </c>
      <c r="CE19" s="72" t="s">
        <v>353</v>
      </c>
      <c r="CF19" s="72" t="s">
        <v>354</v>
      </c>
      <c r="CG19" s="72" t="s">
        <v>355</v>
      </c>
      <c r="CH19" s="72" t="s">
        <v>356</v>
      </c>
      <c r="CI19" s="72" t="s">
        <v>357</v>
      </c>
      <c r="CJ19" s="72" t="s">
        <v>358</v>
      </c>
      <c r="CK19" s="72" t="s">
        <v>359</v>
      </c>
      <c r="CL19" s="72" t="s">
        <v>360</v>
      </c>
      <c r="CM19" s="72" t="s">
        <v>361</v>
      </c>
      <c r="CN19" s="72" t="s">
        <v>362</v>
      </c>
      <c r="CO19" s="72" t="s">
        <v>363</v>
      </c>
      <c r="CP19" s="72" t="s">
        <v>364</v>
      </c>
      <c r="CQ19" s="72" t="s">
        <v>365</v>
      </c>
      <c r="CR19" s="72" t="s">
        <v>366</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https://www.comunidad.madrid/tacp/</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N/A</v>
      </c>
      <c r="AR20" s="75" t="str" cm="1">
        <f t="array" aca="1" ref="AR20" ca="1">IF($B20="","",IF(ISBLANK(INDIRECT("R9.Web!D"&amp;SUM(18,38*8,1))),"",INDIRECT("R9.Web!D"&amp;SUM(18,38*8,1))))</f>
        <v>N/A</v>
      </c>
      <c r="AS20" s="75" t="str" cm="1">
        <f t="array" aca="1" ref="AS20" ca="1">IF($B20="","",IF(ISBLANK(INDIRECT("R9.Web!D"&amp;SUM(18,38*9,1))),"",INDIRECT("R9.Web!D"&amp;SUM(18,38*9,1))))</f>
        <v>Pasa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N/A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Pasa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Pasa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Pasa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Carta del presidente</v>
      </c>
      <c r="D21" s="74" t="str" cm="1">
        <f t="array" ref="D21">IFERROR(INDEX('03.Muestra'!$F$8:$F$42,SMALL(IF("Página Web"='03.Muestra'!$D$8:$D$42,ROW('03.Muestra'!$F$8:$F$42)-MIN(ROW('03.Muestra'!$D$8:$D$42))+1,""),ROW()-19)),"")</f>
        <v>https://www.comunidad.madrid/tacp/carta-del-presidente</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N/A</v>
      </c>
      <c r="AR21" s="75" t="str" cm="1">
        <f t="array" aca="1" ref="AR21" ca="1">IF($B21="","",IF(ISBLANK(INDIRECT("R9.Web!D"&amp;SUM(18,38*8,2))),"",INDIRECT("R9.Web!D"&amp;SUM(18,38*8,2))))</f>
        <v>N/A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Pasa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Pasa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Pasa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Organización</v>
      </c>
      <c r="D22" s="74" t="str" cm="1">
        <f t="array" ref="D22">IFERROR(INDEX('03.Muestra'!$F$8:$F$42,SMALL(IF("Página Web"='03.Muestra'!$D$8:$D$42,ROW('03.Muestra'!$F$8:$F$42)-MIN(ROW('03.Muestra'!$D$8:$D$42))+1,""),ROW()-19)),"")</f>
        <v>https://www.comunidad.madrid/tacp/el-tribunal/organización</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N/A</v>
      </c>
      <c r="AR22" s="75" t="str" cm="1">
        <f t="array" aca="1" ref="AR22" ca="1">IF($B22="","",IF(ISBLANK(INDIRECT("R9.Web!D"&amp;SUM(18,38*8,3))),"",INDIRECT("R9.Web!D"&amp;SUM(18,38*8,3))))</f>
        <v>N/A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Pasa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Pasa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Pasa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Acuerdos</v>
      </c>
      <c r="D23" s="74" t="str" cm="1">
        <f t="array" ref="D23">IFERROR(INDEX('03.Muestra'!$F$8:$F$42,SMALL(IF("Página Web"='03.Muestra'!$D$8:$D$42,ROW('03.Muestra'!$F$8:$F$42)-MIN(ROW('03.Muestra'!$D$8:$D$42))+1,""),ROW()-19)),"")</f>
        <v>https://www.comunidad.madrid/tacp/el-tribunal/acuerdos-del-tacp</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N/A</v>
      </c>
      <c r="AR23" s="75" t="str" cm="1">
        <f t="array" aca="1" ref="AR23" ca="1">IF($B23="","",IF(ISBLANK(INDIRECT("R9.Web!D"&amp;SUM(18,38*8,4))),"",INDIRECT("R9.Web!D"&amp;SUM(18,38*8,4))))</f>
        <v>N/A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Pasa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Pasa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Pasa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Presentacion</v>
      </c>
      <c r="D24" s="74" t="str" cm="1">
        <f t="array" ref="D24">IFERROR(INDEX('03.Muestra'!$F$8:$F$42,SMALL(IF("Página Web"='03.Muestra'!$D$8:$D$42,ROW('03.Muestra'!$F$8:$F$42)-MIN(ROW('03.Muestra'!$D$8:$D$42))+1,""),ROW()-19)),"")</f>
        <v>https://www.comunidad.madrid/tacp/el-tribunal/presentacion-electronica-e-impresos-normalizados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N/A</v>
      </c>
      <c r="AR24" s="75" t="str" cm="1">
        <f t="array" aca="1" ref="AR24" ca="1">IF($B24="","",IF(ISBLANK(INDIRECT("R9.Web!D"&amp;SUM(18,38*8,5))),"",INDIRECT("R9.Web!D"&amp;SUM(18,38*8,5))))</f>
        <v>N/A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Pasa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Pasa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Pasa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Guia</v>
      </c>
      <c r="D25" s="74" t="str" cm="1">
        <f t="array" ref="D25">IFERROR(INDEX('03.Muestra'!$F$8:$F$42,SMALL(IF("Página Web"='03.Muestra'!$D$8:$D$42,ROW('03.Muestra'!$F$8:$F$42)-MIN(ROW('03.Muestra'!$D$8:$D$42))+1,""),ROW()-19)),"")</f>
        <v>https://www.comunidad.madrid/tacp/el-tribunal/guia-informativa-sobre-la-regulacion-del-tribunal-de-contratacion-publica-y-los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N/A</v>
      </c>
      <c r="AR25" s="75" t="str" cm="1">
        <f t="array" aca="1" ref="AR25" ca="1">IF($B25="","",IF(ISBLANK(INDIRECT("R9.Web!D"&amp;SUM(18,38*8,6))),"",INDIRECT("R9.Web!D"&amp;SUM(18,38*8,6))))</f>
        <v>N/A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Pasa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Pasa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Pasa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Preguntas</v>
      </c>
      <c r="D26" s="74" t="str" cm="1">
        <f t="array" ref="D26">IFERROR(INDEX('03.Muestra'!$F$8:$F$42,SMALL(IF("Página Web"='03.Muestra'!$D$8:$D$42,ROW('03.Muestra'!$F$8:$F$42)-MIN(ROW('03.Muestra'!$D$8:$D$42))+1,""),ROW()-19)),"")</f>
        <v>https://www.comunidad.madrid/tacp/faq-page</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N/A</v>
      </c>
      <c r="AR26" s="75" t="str" cm="1">
        <f t="array" aca="1" ref="AR26" ca="1">IF($B26="","",IF(ISBLANK(INDIRECT("R9.Web!D"&amp;SUM(18,38*8,7))),"",INDIRECT("R9.Web!D"&amp;SUM(18,38*8,7))))</f>
        <v>N/A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Pasa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Pasa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Pasa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Histórico</v>
      </c>
      <c r="D27" s="74" t="str" cm="1">
        <f t="array" ref="D27">IFERROR(INDEX('03.Muestra'!$F$8:$F$42,SMALL(IF("Página Web"='03.Muestra'!$D$8:$D$42,ROW('03.Muestra'!$F$8:$F$42)-MIN(ROW('03.Muestra'!$D$8:$D$42))+1,""),ROW()-19)),"")</f>
        <v>https://www.comunidad.madrid/tacp/el-tribunal/historico-resoluciones-de-las-reclamaciones-de-acceso-informacion-publica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N/A</v>
      </c>
      <c r="AR27" s="75" t="str" cm="1">
        <f t="array" aca="1" ref="AR27" ca="1">IF($B27="","",IF(ISBLANK(INDIRECT("R9.Web!D"&amp;SUM(18,38*8,8))),"",INDIRECT("R9.Web!D"&amp;SUM(18,38*8,8))))</f>
        <v>N/A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Pasa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Pasa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Pasa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Estudios</v>
      </c>
      <c r="D28" s="74" t="str" cm="1">
        <f t="array" ref="D28">IFERROR(INDEX('03.Muestra'!$F$8:$F$42,SMALL(IF("Página Web"='03.Muestra'!$D$8:$D$42,ROW('03.Muestra'!$F$8:$F$42)-MIN(ROW('03.Muestra'!$D$8:$D$42))+1,""),ROW()-19)),"")</f>
        <v>https://www.comunidad.madrid/tacp/estudios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N/A</v>
      </c>
      <c r="AR28" s="75" t="str" cm="1">
        <f t="array" aca="1" ref="AR28" ca="1">IF($B28="","",IF(ISBLANK(INDIRECT("R9.Web!D"&amp;SUM(18,38*8,9))),"",INDIRECT("R9.Web!D"&amp;SUM(18,38*8,9))))</f>
        <v>N/A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N/A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Pasa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Pasa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Pasa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Memorias</v>
      </c>
      <c r="D29" s="74" t="str" cm="1">
        <f t="array" ref="D29">IFERROR(INDEX('03.Muestra'!$F$8:$F$42,SMALL(IF("Página Web"='03.Muestra'!$D$8:$D$42,ROW('03.Muestra'!$F$8:$F$42)-MIN(ROW('03.Muestra'!$D$8:$D$42))+1,""),ROW()-19)),"")</f>
        <v>https://www.comunidad.madrid/tacp/memorias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N/A</v>
      </c>
      <c r="AR29" s="75" t="str" cm="1">
        <f t="array" aca="1" ref="AR29" ca="1">IF($B29="","",IF(ISBLANK(INDIRECT("R9.Web!D"&amp;SUM(18,38*8,10))),"",INDIRECT("R9.Web!D"&amp;SUM(18,38*8,10))))</f>
        <v>N/A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Pasa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Pasa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Pasa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Busqueda Resol</v>
      </c>
      <c r="D30" s="74" t="str" cm="1">
        <f t="array" ref="D30">IFERROR(INDEX('03.Muestra'!$F$8:$F$42,SMALL(IF("Página Web"='03.Muestra'!$D$8:$D$42,ROW('03.Muestra'!$F$8:$F$42)-MIN(ROW('03.Muestra'!$D$8:$D$42))+1,""),ROW()-19)),"")</f>
        <v>https://www.comunidad.madrid/tacp/busquedaresoluciones</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N/A</v>
      </c>
      <c r="AR30" s="75" t="str" cm="1">
        <f t="array" aca="1" ref="AR30" ca="1">IF($B30="","",IF(ISBLANK(INDIRECT("R9.Web!D"&amp;SUM(18,38*8,11))),"",INDIRECT("R9.Web!D"&amp;SUM(18,38*8,11))))</f>
        <v>N/A</v>
      </c>
      <c r="AS30" s="75" t="str" cm="1">
        <f t="array" aca="1" ref="AS30" ca="1">IF($B30="","",IF(ISBLANK(INDIRECT("R9.Web!D"&amp;SUM(18,38*9,11))),"",INDIRECT("R9.Web!D"&amp;SUM(18,38*9,11))))</f>
        <v>Pasa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Pasa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Pasa</v>
      </c>
      <c r="CP30" s="75" t="str" cm="1">
        <f t="array" aca="1" ref="CP30" ca="1">IF($B30="","",IF(ISBLANK(INDIRECT("R12.ServiciosApoyo!D"&amp;SUM(18,38*2,11))),"",INDIRECT("R12.ServiciosApoyo!D"&amp;SUM(18,38*2,11))))</f>
        <v>Pasa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Pasa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Novedades</v>
      </c>
      <c r="D31" s="74" t="str" cm="1">
        <f t="array" ref="D31">IFERROR(INDEX('03.Muestra'!$F$8:$F$42,SMALL(IF("Página Web"='03.Muestra'!$D$8:$D$42,ROW('03.Muestra'!$F$8:$F$42)-MIN(ROW('03.Muestra'!$D$8:$D$42))+1,""),ROW()-19)),"")</f>
        <v>https://www.comunidad.madrid/tacp/noticias</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N/A</v>
      </c>
      <c r="AR31" s="75" t="str" cm="1">
        <f t="array" aca="1" ref="AR31" ca="1">IF($B31="","",IF(ISBLANK(INDIRECT("R9.Web!D"&amp;SUM(18,38*8,12))),"",INDIRECT("R9.Web!D"&amp;SUM(18,38*8,12))))</f>
        <v>N/A</v>
      </c>
      <c r="AS31" s="75" t="str" cm="1">
        <f t="array" aca="1" ref="AS31" ca="1">IF($B31="","",IF(ISBLANK(INDIRECT("R9.Web!D"&amp;SUM(18,38*9,12))),"",INDIRECT("R9.Web!D"&amp;SUM(18,38*9,12))))</f>
        <v>Pasa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Pasa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N/A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Pasa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Pasa</v>
      </c>
      <c r="CP31" s="75" t="str" cm="1">
        <f t="array" aca="1" ref="CP31" ca="1">IF($B31="","",IF(ISBLANK(INDIRECT("R12.ServiciosApoyo!D"&amp;SUM(18,38*2,12))),"",INDIRECT("R12.ServiciosApoyo!D"&amp;SUM(18,38*2,12))))</f>
        <v>Pasa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Pasa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Recursos especiales</v>
      </c>
      <c r="D32" s="74" t="str" cm="1">
        <f t="array" ref="D32">IFERROR(INDEX('03.Muestra'!$F$8:$F$42,SMALL(IF("Página Web"='03.Muestra'!$D$8:$D$42,ROW('03.Muestra'!$F$8:$F$42)-MIN(ROW('03.Muestra'!$D$8:$D$42))+1,""),ROW()-19)),"")</f>
        <v>https://www.comunidad.madrid/tacp/novedades/publicacion-recursos-especiales-en-perfil-contratante</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N/A</v>
      </c>
      <c r="AR32" s="75" t="str" cm="1">
        <f t="array" aca="1" ref="AR32" ca="1">IF($B32="","",IF(ISBLANK(INDIRECT("R9.Web!D"&amp;SUM(18,38*8,13))),"",INDIRECT("R9.Web!D"&amp;SUM(18,38*8,13))))</f>
        <v>N/A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Pasa</v>
      </c>
      <c r="BA32" s="75" t="str" cm="1">
        <f t="array" aca="1" ref="BA32" ca="1">IF($B32="","",IF(ISBLANK(INDIRECT("R9.Web!D"&amp;SUM(18,38*17,13))),"",INDIRECT("R9.Web!D"&amp;SUM(18,38*17,13))))</f>
        <v>Pasa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N/A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Pasa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Pasa</v>
      </c>
      <c r="CP32" s="75" t="str" cm="1">
        <f t="array" aca="1" ref="CP32" ca="1">IF($B32="","",IF(ISBLANK(INDIRECT("R12.ServiciosApoyo!D"&amp;SUM(18,38*2,13))),"",INDIRECT("R12.ServiciosApoyo!D"&amp;SUM(18,38*2,13))))</f>
        <v>Pasa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Pasa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Normativa</v>
      </c>
      <c r="D33" s="74" t="str" cm="1">
        <f t="array" ref="D33">IFERROR(INDEX('03.Muestra'!$F$8:$F$42,SMALL(IF("Página Web"='03.Muestra'!$D$8:$D$42,ROW('03.Muestra'!$F$8:$F$42)-MIN(ROW('03.Muestra'!$D$8:$D$42))+1,""),ROW()-19)),"")</f>
        <v>https://www.comunidad.madrid/es/tacp/normativa</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N/A</v>
      </c>
      <c r="AR33" s="75" t="str" cm="1">
        <f t="array" aca="1" ref="AR33" ca="1">IF($B33="","",IF(ISBLANK(INDIRECT("R9.Web!D"&amp;SUM(18,38*8,14))),"",INDIRECT("R9.Web!D"&amp;SUM(18,38*8,14))))</f>
        <v>N/A</v>
      </c>
      <c r="AS33" s="75" t="str" cm="1">
        <f t="array" aca="1" ref="AS33" ca="1">IF($B33="","",IF(ISBLANK(INDIRECT("R9.Web!D"&amp;SUM(18,38*9,14))),"",INDIRECT("R9.Web!D"&amp;SUM(18,38*9,14))))</f>
        <v>N/A</v>
      </c>
      <c r="AT33" s="75" t="str" cm="1">
        <f t="array" aca="1" ref="AT33" ca="1">IF($B33="","",IF(ISBLANK(INDIRECT("R9.Web!D"&amp;SUM(18,38*10,14))),"",INDIRECT("R9.Web!D"&amp;SUM(18,38*10,14))))</f>
        <v>N/A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Pasa</v>
      </c>
      <c r="AZ33" s="75" t="str" cm="1">
        <f t="array" aca="1" ref="AZ33" ca="1">IF($B33="","",IF(ISBLANK(INDIRECT("R9.Web!D"&amp;SUM(18,38*16,14))),"",INDIRECT("R9.Web!D"&amp;SUM(18,38*16,14))))</f>
        <v>Pasa</v>
      </c>
      <c r="BA33" s="75" t="str" cm="1">
        <f t="array" aca="1" ref="BA33" ca="1">IF($B33="","",IF(ISBLANK(INDIRECT("R9.Web!D"&amp;SUM(18,38*17,14))),"",INDIRECT("R9.Web!D"&amp;SUM(18,38*17,14))))</f>
        <v>Pasa</v>
      </c>
      <c r="BB33" s="75" t="str" cm="1">
        <f t="array" aca="1" ref="BB33" ca="1">IF($B33="","",IF(ISBLANK(INDIRECT("R9.Web!D"&amp;SUM(18,38*18,14))),"",INDIRECT("R9.Web!D"&amp;SUM(18,38*18,14))))</f>
        <v>N/A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N/A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N/A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Pasa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Pasa</v>
      </c>
      <c r="CP33" s="75" t="str" cm="1">
        <f t="array" aca="1" ref="CP33" ca="1">IF($B33="","",IF(ISBLANK(INDIRECT("R12.ServiciosApoyo!D"&amp;SUM(18,38*2,14))),"",INDIRECT("R12.ServiciosApoyo!D"&amp;SUM(18,38*2,14))))</f>
        <v>Pasa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Pasa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Organos Competentes</v>
      </c>
      <c r="D34" s="74" t="str" cm="1">
        <f t="array" ref="D34">IFERROR(INDEX('03.Muestra'!$F$8:$F$42,SMALL(IF("Página Web"='03.Muestra'!$D$8:$D$42,ROW('03.Muestra'!$F$8:$F$42)-MIN(ROW('03.Muestra'!$D$8:$D$42))+1,""),ROW()-19)),"")</f>
        <v>https://www.comunidad.madrid/es/tacp/otros-organos-competentes</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Pasa</v>
      </c>
      <c r="AQ34" s="75" t="str" cm="1">
        <f t="array" aca="1" ref="AQ34" ca="1">IF($B34="","",IF(ISBLANK(INDIRECT("R9.Web!D"&amp;SUM(18,38*7,15))),"",INDIRECT("R9.Web!D"&amp;SUM(18,38*7,15))))</f>
        <v>N/A</v>
      </c>
      <c r="AR34" s="75" t="str" cm="1">
        <f t="array" aca="1" ref="AR34" ca="1">IF($B34="","",IF(ISBLANK(INDIRECT("R9.Web!D"&amp;SUM(18,38*8,15))),"",INDIRECT("R9.Web!D"&amp;SUM(18,38*8,15))))</f>
        <v>N/A</v>
      </c>
      <c r="AS34" s="75" t="str" cm="1">
        <f t="array" aca="1" ref="AS34" ca="1">IF($B34="","",IF(ISBLANK(INDIRECT("R9.Web!D"&amp;SUM(18,38*9,15))),"",INDIRECT("R9.Web!D"&amp;SUM(18,38*9,15))))</f>
        <v>N/A</v>
      </c>
      <c r="AT34" s="75" t="str" cm="1">
        <f t="array" aca="1" ref="AT34" ca="1">IF($B34="","",IF(ISBLANK(INDIRECT("R9.Web!D"&amp;SUM(18,38*10,15))),"",INDIRECT("R9.Web!D"&amp;SUM(18,38*10,15))))</f>
        <v>N/A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Pasa</v>
      </c>
      <c r="AZ34" s="75" t="str" cm="1">
        <f t="array" aca="1" ref="AZ34" ca="1">IF($B34="","",IF(ISBLANK(INDIRECT("R9.Web!D"&amp;SUM(18,38*16,15))),"",INDIRECT("R9.Web!D"&amp;SUM(18,38*16,15))))</f>
        <v>Pasa</v>
      </c>
      <c r="BA34" s="75" t="str" cm="1">
        <f t="array" aca="1" ref="BA34" ca="1">IF($B34="","",IF(ISBLANK(INDIRECT("R9.Web!D"&amp;SUM(18,38*17,15))),"",INDIRECT("R9.Web!D"&amp;SUM(18,38*17,15))))</f>
        <v>Pasa</v>
      </c>
      <c r="BB34" s="75" t="str" cm="1">
        <f t="array" aca="1" ref="BB34" ca="1">IF($B34="","",IF(ISBLANK(INDIRECT("R9.Web!D"&amp;SUM(18,38*18,15))),"",INDIRECT("R9.Web!D"&amp;SUM(18,38*18,15))))</f>
        <v>N/A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Pasa</v>
      </c>
      <c r="BL34" s="75" t="str" cm="1">
        <f t="array" aca="1" ref="BL34" ca="1">IF($B34="","",IF(ISBLANK(INDIRECT("R9.Web!D"&amp;SUM(18,38*28,15))),"",INDIRECT("R9.Web!D"&amp;SUM(18,38*28,15))))</f>
        <v>Pasa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N/A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N/A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N/A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Pasa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Pasa</v>
      </c>
      <c r="CH34" s="75" t="str" cm="1">
        <f t="array" aca="1" ref="CH34" ca="1">IF($B34="","",IF(ISBLANK(INDIRECT("R11.Software!D"&amp;SUM(18,38*0,15))),"",INDIRECT("R11.Software!D"&amp;SUM(18,38*0,15))))</f>
        <v>N/A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Pasa</v>
      </c>
      <c r="CO34" s="75" t="str" cm="1">
        <f t="array" aca="1" ref="CO34" ca="1">IF($B34="","",IF(ISBLANK(INDIRECT("R12.ServiciosApoyo!D"&amp;SUM(18,38*1,15))),"",INDIRECT("R12.ServiciosApoyo!D"&amp;SUM(18,38*1,15))))</f>
        <v>Pasa</v>
      </c>
      <c r="CP34" s="75" t="str" cm="1">
        <f t="array" aca="1" ref="CP34" ca="1">IF($B34="","",IF(ISBLANK(INDIRECT("R12.ServiciosApoyo!D"&amp;SUM(18,38*2,15))),"",INDIRECT("R12.ServiciosApoyo!D"&amp;SUM(18,38*2,15))))</f>
        <v>Pasa</v>
      </c>
      <c r="CQ34" s="75" t="str" cm="1">
        <f t="array" aca="1" ref="CQ34" ca="1">IF($B34="","",IF(ISBLANK(INDIRECT("R12.ServiciosApoyo!D"&amp;SUM(18,38*3,15))),"",INDIRECT("R12.ServiciosApoyo!D"&amp;SUM(18,38*3,15))))</f>
        <v>Pasa</v>
      </c>
      <c r="CR34" s="75" t="str" cm="1">
        <f t="array" aca="1" ref="CR34" ca="1">IF($B34="","",IF(ISBLANK(INDIRECT("R12.ServiciosApoyo!D"&amp;SUM(18,38*4,15))),"",INDIRECT("R12.ServiciosApoyo!D"&amp;SUM(18,38*4,15))))</f>
        <v>Pasa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Contacto</v>
      </c>
      <c r="D35" s="74" t="str" cm="1">
        <f t="array" ref="D35">IFERROR(INDEX('03.Muestra'!$F$8:$F$42,SMALL(IF("Página Web"='03.Muestra'!$D$8:$D$42,ROW('03.Muestra'!$F$8:$F$42)-MIN(ROW('03.Muestra'!$D$8:$D$42))+1,""),ROW()-19)),"")</f>
        <v>https://www.comunidad.madrid/es/tacp/contact</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Pasa</v>
      </c>
      <c r="AQ35" s="75" t="str" cm="1">
        <f t="array" aca="1" ref="AQ35" ca="1">IF($B35="","",IF(ISBLANK(INDIRECT("R9.Web!D"&amp;SUM(18,38*7,16))),"",INDIRECT("R9.Web!D"&amp;SUM(18,38*7,16))))</f>
        <v>N/A</v>
      </c>
      <c r="AR35" s="75" t="str" cm="1">
        <f t="array" aca="1" ref="AR35" ca="1">IF($B35="","",IF(ISBLANK(INDIRECT("R9.Web!D"&amp;SUM(18,38*8,16))),"",INDIRECT("R9.Web!D"&amp;SUM(18,38*8,16))))</f>
        <v>N/A</v>
      </c>
      <c r="AS35" s="75" t="str" cm="1">
        <f t="array" aca="1" ref="AS35" ca="1">IF($B35="","",IF(ISBLANK(INDIRECT("R9.Web!D"&amp;SUM(18,38*9,16))),"",INDIRECT("R9.Web!D"&amp;SUM(18,38*9,16))))</f>
        <v>Pasa</v>
      </c>
      <c r="AT35" s="75" t="str" cm="1">
        <f t="array" aca="1" ref="AT35" ca="1">IF($B35="","",IF(ISBLANK(INDIRECT("R9.Web!D"&amp;SUM(18,38*10,16))),"",INDIRECT("R9.Web!D"&amp;SUM(18,38*10,16))))</f>
        <v>N/A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Pasa</v>
      </c>
      <c r="AZ35" s="75" t="str" cm="1">
        <f t="array" aca="1" ref="AZ35" ca="1">IF($B35="","",IF(ISBLANK(INDIRECT("R9.Web!D"&amp;SUM(18,38*16,16))),"",INDIRECT("R9.Web!D"&amp;SUM(18,38*16,16))))</f>
        <v>Pasa</v>
      </c>
      <c r="BA35" s="75" t="str" cm="1">
        <f t="array" aca="1" ref="BA35" ca="1">IF($B35="","",IF(ISBLANK(INDIRECT("R9.Web!D"&amp;SUM(18,38*17,16))),"",INDIRECT("R9.Web!D"&amp;SUM(18,38*17,16))))</f>
        <v>Pasa</v>
      </c>
      <c r="BB35" s="75" t="str" cm="1">
        <f t="array" aca="1" ref="BB35" ca="1">IF($B35="","",IF(ISBLANK(INDIRECT("R9.Web!D"&amp;SUM(18,38*18,16))),"",INDIRECT("R9.Web!D"&amp;SUM(18,38*18,16))))</f>
        <v>N/A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Falla</v>
      </c>
      <c r="BP35" s="75" t="str" cm="1">
        <f t="array" aca="1" ref="BP35" ca="1">IF($B35="","",IF(ISBLANK(INDIRECT("R9.Web!D"&amp;SUM(18,38*32,16))),"",INDIRECT("R9.Web!D"&amp;SUM(18,38*32,16))))</f>
        <v>N/A</v>
      </c>
      <c r="BQ35" s="75" t="str" cm="1">
        <f t="array" aca="1" ref="BQ35" ca="1">IF($B35="","",IF(ISBLANK(INDIRECT("R9.Web!D"&amp;SUM(18,38*33,16))),"",INDIRECT("R9.Web!D"&amp;SUM(18,38*33,16))))</f>
        <v>N/A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N/A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Pasa</v>
      </c>
      <c r="CA35" s="75" t="str" cm="1">
        <f t="array" aca="1" ref="CA35" ca="1">IF($B35="","",IF(ISBLANK(INDIRECT("R9.Web!D"&amp;SUM(18,38*43,16))),"",INDIRECT("R9.Web!D"&amp;SUM(18,38*43,16))))</f>
        <v>Pasa</v>
      </c>
      <c r="CB35" s="75" t="str" cm="1">
        <f t="array" aca="1" ref="CB35" ca="1">IF($B35="","",IF(ISBLANK(INDIRECT("R9.Web!D"&amp;SUM(18,38*44,16))),"",INDIRECT("R9.Web!D"&amp;SUM(18,38*44,16))))</f>
        <v>Falla</v>
      </c>
      <c r="CC35" s="75" t="str" cm="1">
        <f t="array" aca="1" ref="CC35" ca="1">IF($B35="","",IF(ISBLANK(INDIRECT("R9.Web!D"&amp;SUM(18,38*45,16))),"",INDIRECT("R9.Web!D"&amp;SUM(18,38*45,16))))</f>
        <v>N/A</v>
      </c>
      <c r="CD35" s="75" t="str" cm="1">
        <f t="array" aca="1" ref="CD35" ca="1">IF($B35="","",IF(ISBLANK(INDIRECT("R9.Web!D"&amp;SUM(18,38*46,16))),"",INDIRECT("R9.Web!D"&amp;SUM(18,38*46,16))))</f>
        <v>Pasa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Pasa</v>
      </c>
      <c r="CH35" s="75" t="str" cm="1">
        <f t="array" aca="1" ref="CH35" ca="1">IF($B35="","",IF(ISBLANK(INDIRECT("R11.Software!D"&amp;SUM(18,38*0,16))),"",INDIRECT("R11.Software!D"&amp;SUM(18,38*0,16))))</f>
        <v>N/A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Pasa</v>
      </c>
      <c r="CO35" s="75" t="str" cm="1">
        <f t="array" aca="1" ref="CO35" ca="1">IF($B35="","",IF(ISBLANK(INDIRECT("R12.ServiciosApoyo!D"&amp;SUM(18,38*1,16))),"",INDIRECT("R12.ServiciosApoyo!D"&amp;SUM(18,38*1,16))))</f>
        <v>Pasa</v>
      </c>
      <c r="CP35" s="75" t="str" cm="1">
        <f t="array" aca="1" ref="CP35" ca="1">IF($B35="","",IF(ISBLANK(INDIRECT("R12.ServiciosApoyo!D"&amp;SUM(18,38*2,16))),"",INDIRECT("R12.ServiciosApoyo!D"&amp;SUM(18,38*2,16))))</f>
        <v>Pasa</v>
      </c>
      <c r="CQ35" s="75" t="str" cm="1">
        <f t="array" aca="1" ref="CQ35" ca="1">IF($B35="","",IF(ISBLANK(INDIRECT("R12.ServiciosApoyo!D"&amp;SUM(18,38*3,16))),"",INDIRECT("R12.ServiciosApoyo!D"&amp;SUM(18,38*3,16))))</f>
        <v>Pasa</v>
      </c>
      <c r="CR35" s="75" t="str" cm="1">
        <f t="array" aca="1" ref="CR35" ca="1">IF($B35="","",IF(ISBLANK(INDIRECT("R12.ServiciosApoyo!D"&amp;SUM(18,38*4,16))),"",INDIRECT("R12.ServiciosApoyo!D"&amp;SUM(18,38*4,16))))</f>
        <v>Pasa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Accesibilidad</v>
      </c>
      <c r="D36" s="74" t="str" cm="1">
        <f t="array" ref="D36">IFERROR(INDEX('03.Muestra'!$F$8:$F$42,SMALL(IF("Página Web"='03.Muestra'!$D$8:$D$42,ROW('03.Muestra'!$F$8:$F$42)-MIN(ROW('03.Muestra'!$D$8:$D$42))+1,""),ROW()-19)),"")</f>
        <v>https://www.comunidad.madrid/es/tacp/accesibilidad</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Pasa</v>
      </c>
      <c r="AQ36" s="75" t="str" cm="1">
        <f t="array" aca="1" ref="AQ36" ca="1">IF($B36="","",IF(ISBLANK(INDIRECT("R9.Web!D"&amp;SUM(18,38*7,17))),"",INDIRECT("R9.Web!D"&amp;SUM(18,38*7,17))))</f>
        <v>N/A</v>
      </c>
      <c r="AR36" s="75" t="str" cm="1">
        <f t="array" aca="1" ref="AR36" ca="1">IF($B36="","",IF(ISBLANK(INDIRECT("R9.Web!D"&amp;SUM(18,38*8,17))),"",INDIRECT("R9.Web!D"&amp;SUM(18,38*8,17))))</f>
        <v>N/A</v>
      </c>
      <c r="AS36" s="75" t="str" cm="1">
        <f t="array" aca="1" ref="AS36" ca="1">IF($B36="","",IF(ISBLANK(INDIRECT("R9.Web!D"&amp;SUM(18,38*9,17))),"",INDIRECT("R9.Web!D"&amp;SUM(18,38*9,17))))</f>
        <v>N/A</v>
      </c>
      <c r="AT36" s="75" t="str" cm="1">
        <f t="array" aca="1" ref="AT36" ca="1">IF($B36="","",IF(ISBLANK(INDIRECT("R9.Web!D"&amp;SUM(18,38*10,17))),"",INDIRECT("R9.Web!D"&amp;SUM(18,38*10,17))))</f>
        <v>N/A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N/A</v>
      </c>
      <c r="AY36" s="75" t="str" cm="1">
        <f t="array" aca="1" ref="AY36" ca="1">IF($B36="","",IF(ISBLANK(INDIRECT("R9.Web!D"&amp;SUM(18,38*15,17))),"",INDIRECT("R9.Web!D"&amp;SUM(18,38*15,17))))</f>
        <v>Pasa</v>
      </c>
      <c r="AZ36" s="75" t="str" cm="1">
        <f t="array" aca="1" ref="AZ36" ca="1">IF($B36="","",IF(ISBLANK(INDIRECT("R9.Web!D"&amp;SUM(18,38*16,17))),"",INDIRECT("R9.Web!D"&amp;SUM(18,38*16,17))))</f>
        <v>Pasa</v>
      </c>
      <c r="BA36" s="75" t="str" cm="1">
        <f t="array" aca="1" ref="BA36" ca="1">IF($B36="","",IF(ISBLANK(INDIRECT("R9.Web!D"&amp;SUM(18,38*17,17))),"",INDIRECT("R9.Web!D"&amp;SUM(18,38*17,17))))</f>
        <v>Pasa</v>
      </c>
      <c r="BB36" s="75" t="str" cm="1">
        <f t="array" aca="1" ref="BB36" ca="1">IF($B36="","",IF(ISBLANK(INDIRECT("R9.Web!D"&amp;SUM(18,38*18,17))),"",INDIRECT("R9.Web!D"&amp;SUM(18,38*18,17))))</f>
        <v>N/A</v>
      </c>
      <c r="BC36" s="75" t="str" cm="1">
        <f t="array" aca="1" ref="BC36" ca="1">IF($B36="","",IF(ISBLANK(INDIRECT("R9.Web!D"&amp;SUM(18,38*19,17))),"",INDIRECT("R9.Web!D"&amp;SUM(18,38*19,17))))</f>
        <v>Falla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Pasa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N/A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N/A</v>
      </c>
      <c r="BW36" s="75" t="str" cm="1">
        <f t="array" aca="1" ref="BW36" ca="1">IF($B36="","",IF(ISBLANK(INDIRECT("R9.Web!D"&amp;SUM(18,38*39,17))),"",INDIRECT("R9.Web!D"&amp;SUM(18,38*39,17))))</f>
        <v>N/A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N/A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Pasa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Pasa</v>
      </c>
      <c r="CH36" s="75" t="str" cm="1">
        <f t="array" aca="1" ref="CH36" ca="1">IF($B36="","",IF(ISBLANK(INDIRECT("R11.Software!D"&amp;SUM(18,38*0,17))),"",INDIRECT("R11.Software!D"&amp;SUM(18,38*0,17))))</f>
        <v>N/A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Pasa</v>
      </c>
      <c r="CO36" s="75" t="str" cm="1">
        <f t="array" aca="1" ref="CO36" ca="1">IF($B36="","",IF(ISBLANK(INDIRECT("R12.ServiciosApoyo!D"&amp;SUM(18,38*1,17))),"",INDIRECT("R12.ServiciosApoyo!D"&amp;SUM(18,38*1,17))))</f>
        <v>Pasa</v>
      </c>
      <c r="CP36" s="75" t="str" cm="1">
        <f t="array" aca="1" ref="CP36" ca="1">IF($B36="","",IF(ISBLANK(INDIRECT("R12.ServiciosApoyo!D"&amp;SUM(18,38*2,17))),"",INDIRECT("R12.ServiciosApoyo!D"&amp;SUM(18,38*2,17))))</f>
        <v>Pasa</v>
      </c>
      <c r="CQ36" s="75" t="str" cm="1">
        <f t="array" aca="1" ref="CQ36" ca="1">IF($B36="","",IF(ISBLANK(INDIRECT("R12.ServiciosApoyo!D"&amp;SUM(18,38*3,17))),"",INDIRECT("R12.ServiciosApoyo!D"&amp;SUM(18,38*3,17))))</f>
        <v>Pasa</v>
      </c>
      <c r="CR36" s="75" t="str" cm="1">
        <f t="array" aca="1" ref="CR36" ca="1">IF($B36="","",IF(ISBLANK(INDIRECT("R12.ServiciosApoyo!D"&amp;SUM(18,38*4,17))),"",INDIRECT("R12.ServiciosApoyo!D"&amp;SUM(18,38*4,17))))</f>
        <v>Pasa</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264</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CONFORME</v>
      </c>
    </row>
    <row r="56" spans="2:99" ht="20.399999999999999">
      <c r="AI56" s="76"/>
    </row>
    <row r="58" spans="2:99" ht="30.75" customHeight="1" thickBot="1">
      <c r="B58" s="254" t="s">
        <v>266</v>
      </c>
      <c r="C58" s="254"/>
      <c r="D58" s="254"/>
    </row>
    <row r="59" spans="2:99" ht="23.25" customHeight="1">
      <c r="B59" s="248" t="s">
        <v>272</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101</v>
      </c>
      <c r="C60" s="72" t="s">
        <v>273</v>
      </c>
      <c r="D60" s="72" t="s">
        <v>367</v>
      </c>
      <c r="E60" s="72" t="s">
        <v>368</v>
      </c>
      <c r="F60" s="72" t="s">
        <v>369</v>
      </c>
      <c r="G60" s="72" t="s">
        <v>370</v>
      </c>
      <c r="H60" s="72" t="s">
        <v>371</v>
      </c>
      <c r="I60" s="72" t="s">
        <v>372</v>
      </c>
      <c r="J60" s="72" t="s">
        <v>373</v>
      </c>
      <c r="K60" s="72" t="s">
        <v>374</v>
      </c>
      <c r="L60" s="72" t="s">
        <v>375</v>
      </c>
      <c r="M60" s="72" t="s">
        <v>376</v>
      </c>
      <c r="N60" s="72" t="s">
        <v>377</v>
      </c>
      <c r="O60" s="72" t="s">
        <v>378</v>
      </c>
      <c r="P60" s="72" t="s">
        <v>379</v>
      </c>
      <c r="Q60" s="72" t="s">
        <v>380</v>
      </c>
      <c r="R60" s="72" t="s">
        <v>381</v>
      </c>
      <c r="S60" s="72" t="s">
        <v>382</v>
      </c>
      <c r="T60" s="72" t="s">
        <v>383</v>
      </c>
      <c r="U60" s="72" t="s">
        <v>384</v>
      </c>
      <c r="V60" s="72" t="s">
        <v>385</v>
      </c>
      <c r="W60" s="72" t="s">
        <v>386</v>
      </c>
      <c r="X60" s="72" t="s">
        <v>387</v>
      </c>
      <c r="Y60" s="72" t="s">
        <v>388</v>
      </c>
      <c r="Z60" s="72" t="s">
        <v>389</v>
      </c>
      <c r="AA60" s="72" t="s">
        <v>390</v>
      </c>
      <c r="AB60" s="72" t="s">
        <v>391</v>
      </c>
      <c r="AC60" s="72" t="s">
        <v>392</v>
      </c>
      <c r="AD60" s="72" t="s">
        <v>393</v>
      </c>
      <c r="AE60" s="72" t="s">
        <v>394</v>
      </c>
      <c r="AF60" s="72" t="s">
        <v>395</v>
      </c>
      <c r="AG60" s="72" t="s">
        <v>396</v>
      </c>
      <c r="AH60" s="72" t="s">
        <v>397</v>
      </c>
      <c r="AI60" s="72" t="s">
        <v>398</v>
      </c>
      <c r="AJ60" s="72" t="s">
        <v>399</v>
      </c>
      <c r="AK60" s="72" t="s">
        <v>400</v>
      </c>
      <c r="AL60" s="72" t="s">
        <v>401</v>
      </c>
      <c r="AM60" s="72" t="s">
        <v>402</v>
      </c>
      <c r="AN60" s="72" t="s">
        <v>403</v>
      </c>
      <c r="AO60" s="72" t="s">
        <v>404</v>
      </c>
      <c r="AP60" s="72" t="s">
        <v>405</v>
      </c>
      <c r="AQ60" s="72" t="s">
        <v>406</v>
      </c>
      <c r="AR60" s="72" t="s">
        <v>407</v>
      </c>
      <c r="AS60" s="72" t="s">
        <v>408</v>
      </c>
      <c r="AT60" s="72" t="s">
        <v>409</v>
      </c>
      <c r="AU60" s="72" t="s">
        <v>410</v>
      </c>
      <c r="AV60" s="72" t="s">
        <v>411</v>
      </c>
      <c r="AW60" s="72" t="s">
        <v>412</v>
      </c>
    </row>
    <row r="61" spans="2:99" ht="20.25" customHeight="1">
      <c r="B61" s="39" cm="1">
        <f t="array" ref="B61">IFERROR(INDEX('03.Muestra'!$B$8:$B$42,SMALL(IF("Documento no web"='03.Muestra'!$D$8:$D$42,ROW('03.Muestra'!$B$8:$B$42)-MIN(ROW('03.Muestra'!$D$8:$D$42))+1,""),ROW()-60)),"")</f>
        <v>18</v>
      </c>
      <c r="C61" s="73" t="str" cm="1">
        <f t="array" ref="C61">IFERROR(INDEX('03.Muestra'!$C$8:$C$42,SMALL(IF("Documento no web"='03.Muestra'!$D$8:$D$42,ROW('03.Muestra'!$C$8:$C$42)-MIN(ROW('03.Muestra'!$D$8:$D$42))+1,""),ROW()-60)),"")</f>
        <v>Resolucion</v>
      </c>
      <c r="D61" s="74" t="str" cm="1">
        <f t="array" ref="D61">IFERROR(INDEX('03.Muestra'!$F$8:$F$42,SMALL(IF("Documento no web"='03.Muestra'!$D$8:$D$42,ROW('03.Muestra'!$F$8:$F$42)-MIN(ROW('03.Muestra'!$D$8:$D$42))+1,""),ROW()-60)),"")</f>
        <v>https://www.comunidad.madrid/tacp/busquedaresoluciones</v>
      </c>
      <c r="E61" s="75" t="str" cm="1">
        <f t="array" aca="1" ref="E61" ca="1">IF($B61="","",IF(ISBLANK(INDIRECT("'R10.Documentos no web'!D"&amp;SUM(18,38*0,1))),"",INDIRECT("'R10.Documentos no web'!D"&amp;SUM(18,38*0,1))))</f>
        <v>Pasa</v>
      </c>
      <c r="F61" s="75" t="str" cm="1">
        <f t="array" aca="1" ref="F61" ca="1">IF($B61="","",IF(ISBLANK(INDIRECT("'R10.Documentos no web'!D"&amp;SUM(18,38*1,1))),"",INDIRECT("'R10.Documentos no web'!D"&amp;SUM(18,38*1,1))))</f>
        <v>N/A</v>
      </c>
      <c r="G61" s="75" t="str" cm="1">
        <f t="array" aca="1" ref="G61" ca="1">IF($B61="","",IF(ISBLANK(INDIRECT("'R10.Documentos no web'!D"&amp;SUM(18,38*2,1))),"",INDIRECT("'R10.Documentos no web'!D"&amp;SUM(18,38*2,1))))</f>
        <v>N/A</v>
      </c>
      <c r="H61" s="75" t="str" cm="1">
        <f t="array" aca="1" ref="H61" ca="1">IF($B61="","",IF(ISBLANK(INDIRECT("'R10.Documentos no web'!D"&amp;SUM(18,38*3,1))),"",INDIRECT("'R10.Documentos no web'!D"&amp;SUM(18,38*3,1))))</f>
        <v>N/A</v>
      </c>
      <c r="I61" s="75" t="str" cm="1">
        <f t="array" aca="1" ref="I61" ca="1">IF($B61="","",IF(ISBLANK(INDIRECT("'R10.Documentos no web'!D"&amp;SUM(18,38*4,1))),"",INDIRECT("'R10.Documentos no web'!D"&amp;SUM(18,38*4,1))))</f>
        <v>N/A</v>
      </c>
      <c r="J61" s="75" t="str" cm="1">
        <f t="array" aca="1" ref="J61" ca="1">IF($B61="","",IF(ISBLANK(INDIRECT("'R10.Documentos no web'!D"&amp;SUM(18,38*5,1))),"",INDIRECT("'R10.Documentos no web'!D"&amp;SUM(18,38*5,1))))</f>
        <v>Pasa</v>
      </c>
      <c r="K61" s="75" t="str" cm="1">
        <f t="array" aca="1" ref="K61" ca="1">IF($B61="","",IF(ISBLANK(INDIRECT("'R10.Documentos no web'!D"&amp;SUM(18,38*6,1))),"",INDIRECT("'R10.Documentos no web'!D"&amp;SUM(18,38*6,1))))</f>
        <v>Pasa</v>
      </c>
      <c r="L61" s="75" t="str" cm="1">
        <f t="array" aca="1" ref="L61" ca="1">IF($B61="","",IF(ISBLANK(INDIRECT("'R10.Documentos no web'!D"&amp;SUM(18,38*7,1))),"",INDIRECT("'R10.Documentos no web'!D"&amp;SUM(18,38*7,1))))</f>
        <v>N/A</v>
      </c>
      <c r="M61" s="75" t="str" cm="1">
        <f t="array" aca="1" ref="M61" ca="1">IF($B61="","",IF(ISBLANK(INDIRECT("'R10.Documentos no web'!D"&amp;SUM(18,38*8,1))),"",INDIRECT("'R10.Documentos no web'!D"&amp;SUM(18,38*8,1))))</f>
        <v>N/A</v>
      </c>
      <c r="N61" s="75" t="str" cm="1">
        <f t="array" aca="1" ref="N61" ca="1">IF($B61="","",IF(ISBLANK(INDIRECT("'R10.Documentos no web'!D"&amp;SUM(18,38*9,1))),"",INDIRECT("'R10.Documentos no web'!D"&amp;SUM(18,38*9,1))))</f>
        <v>N/A</v>
      </c>
      <c r="O61" s="75" t="str" cm="1">
        <f t="array" aca="1" ref="O61" ca="1">IF($B61="","",IF(ISBLANK(INDIRECT("'R10.Documentos no web'!D"&amp;SUM(18,38*10,1))),"",INDIRECT("'R10.Documentos no web'!D"&amp;SUM(18,38*10,1))))</f>
        <v>N/A</v>
      </c>
      <c r="P61" s="75" t="str" cm="1">
        <f t="array" aca="1" ref="P61" ca="1">IF($B61="","",IF(ISBLANK(INDIRECT("'R10.Documentos no web'!D"&amp;SUM(18,38*11,1))),"",INDIRECT("'R10.Documentos no web'!D"&amp;SUM(18,38*11,1))))</f>
        <v>N/A</v>
      </c>
      <c r="Q61" s="75" t="str" cm="1">
        <f t="array" aca="1" ref="Q61" ca="1">IF($B61="","",IF(ISBLANK(INDIRECT("'R10.Documentos no web'!D"&amp;SUM(18,38*12,1))),"",INDIRECT("'R10.Documentos no web'!D"&amp;SUM(18,38*12,1))))</f>
        <v>Pasa</v>
      </c>
      <c r="R61" s="75" t="str" cm="1">
        <f t="array" aca="1" ref="R61" ca="1">IF($B61="","",IF(ISBLANK(INDIRECT("'R10.Documentos no web'!D"&amp;SUM(18,38*13,1))),"",INDIRECT("'R10.Documentos no web'!D"&amp;SUM(18,38*13,1))))</f>
        <v>N/A</v>
      </c>
      <c r="S61" s="75" t="str" cm="1">
        <f t="array" aca="1" ref="S61" ca="1">IF($B61="","",IF(ISBLANK(INDIRECT("'R10.Documentos no web'!D"&amp;SUM(18,38*14,1))),"",INDIRECT("'R10.Documentos no web'!D"&amp;SUM(18,38*14,1))))</f>
        <v>N/A</v>
      </c>
      <c r="T61" s="75" t="str" cm="1">
        <f t="array" aca="1" ref="T61" ca="1">IF($B61="","",IF(ISBLANK(INDIRECT("'R10.Documentos no web'!D"&amp;SUM(18,38*15,1))),"",INDIRECT("'R10.Documentos no web'!D"&amp;SUM(18,38*15,1))))</f>
        <v>N/A</v>
      </c>
      <c r="U61" s="75" t="str" cm="1">
        <f t="array" aca="1" ref="U61" ca="1">IF($B61="","",IF(ISBLANK(INDIRECT("'R10.Documentos no web'!D"&amp;SUM(18,38*16,1))),"",INDIRECT("'R10.Documentos no web'!D"&amp;SUM(18,38*16,1))))</f>
        <v>N/A</v>
      </c>
      <c r="V61" s="75" t="str" cm="1">
        <f t="array" aca="1" ref="V61" ca="1">IF($B61="","",IF(ISBLANK(INDIRECT("'R10.Documentos no web'!D"&amp;SUM(18,38*17,1))),"",INDIRECT("'R10.Documentos no web'!D"&amp;SUM(18,38*17,1))))</f>
        <v>N/A</v>
      </c>
      <c r="W61" s="75" t="str" cm="1">
        <f t="array" aca="1" ref="W61" ca="1">IF($B61="","",IF(ISBLANK(INDIRECT("'R10.Documentos no web'!D"&amp;SUM(18,38*18,1))),"",INDIRECT("'R10.Documentos no web'!D"&amp;SUM(18,38*18,1))))</f>
        <v>N/A</v>
      </c>
      <c r="X61" s="75" t="str" cm="1">
        <f t="array" aca="1" ref="X61" ca="1">IF($B61="","",IF(ISBLANK(INDIRECT("'R10.Documentos no web'!D"&amp;SUM(18,38*19,1))),"",INDIRECT("'R10.Documentos no web'!D"&amp;SUM(18,38*19,1))))</f>
        <v>N/A</v>
      </c>
      <c r="Y61" s="75" t="str" cm="1">
        <f t="array" aca="1" ref="Y61" ca="1">IF($B61="","",IF(ISBLANK(INDIRECT("'R10.Documentos no web'!D"&amp;SUM(18,38*20,1))),"",INDIRECT("'R10.Documentos no web'!D"&amp;SUM(18,38*20,1))))</f>
        <v>N/A</v>
      </c>
      <c r="Z61" s="75" t="str" cm="1">
        <f t="array" aca="1" ref="Z61" ca="1">IF($B61="","",IF(ISBLANK(INDIRECT("'R10.Documentos no web'!D"&amp;SUM(18,38*21,1))),"",INDIRECT("'R10.Documentos no web'!D"&amp;SUM(18,38*21,1))))</f>
        <v>N/A</v>
      </c>
      <c r="AA61" s="75" t="str" cm="1">
        <f t="array" aca="1" ref="AA61" ca="1">IF($B61="","",IF(ISBLANK(INDIRECT("'R10.Documentos no web'!D"&amp;SUM(18,38*22,1))),"",INDIRECT("'R10.Documentos no web'!D"&amp;SUM(18,38*22,1))))</f>
        <v>N/A</v>
      </c>
      <c r="AB61" s="75" t="str" cm="1">
        <f t="array" aca="1" ref="AB61" ca="1">IF($B61="","",IF(ISBLANK(INDIRECT("'R10.Documentos no web'!D"&amp;SUM(18,38*23,1))),"",INDIRECT("'R10.Documentos no web'!D"&amp;SUM(18,38*23,1))))</f>
        <v>N/A</v>
      </c>
      <c r="AC61" s="75" t="str" cm="1">
        <f t="array" aca="1" ref="AC61" ca="1">IF($B61="","",IF(ISBLANK(INDIRECT("'R10.Documentos no web'!D"&amp;SUM(18,38*24,1))),"",INDIRECT("'R10.Documentos no web'!D"&amp;SUM(18,38*24,1))))</f>
        <v>N/A</v>
      </c>
      <c r="AD61" s="75" t="str" cm="1">
        <f t="array" aca="1" ref="AD61" ca="1">IF($B61="","",IF(ISBLANK(INDIRECT("'R10.Documentos no web'!D"&amp;SUM(18,38*25,1))),"",INDIRECT("'R10.Documentos no web'!D"&amp;SUM(18,38*25,1))))</f>
        <v>Falla</v>
      </c>
      <c r="AE61" s="75" t="str" cm="1">
        <f t="array" aca="1" ref="AE61" ca="1">IF($B61="","",IF(ISBLANK(INDIRECT("'R10.Documentos no web'!D"&amp;SUM(18,38*26,1))),"",INDIRECT("'R10.Documentos no web'!D"&amp;SUM(18,38*26,1))))</f>
        <v>N/A</v>
      </c>
      <c r="AF61" s="75" t="str" cm="1">
        <f t="array" aca="1" ref="AF61" ca="1">IF($B61="","",IF(ISBLANK(INDIRECT("'R10.Documentos no web'!D"&amp;SUM(18,38*27,1))),"",INDIRECT("'R10.Documentos no web'!D"&amp;SUM(18,38*27,1))))</f>
        <v>N/A</v>
      </c>
      <c r="AG61" s="75" t="str" cm="1">
        <f t="array" aca="1" ref="AG61" ca="1">IF($B61="","",IF(ISBLANK(INDIRECT("'R10.Documentos no web'!D"&amp;SUM(18,38*28,1))),"",INDIRECT("'R10.Documentos no web'!D"&amp;SUM(18,38*28,1))))</f>
        <v>Pasa</v>
      </c>
      <c r="AH61" s="75" t="str" cm="1">
        <f t="array" aca="1" ref="AH61" ca="1">IF($B61="","",IF(ISBLANK(INDIRECT("'R10.Documentos no web'!D"&amp;SUM(18,38*29,1))),"",INDIRECT("'R10.Documentos no web'!D"&amp;SUM(18,38*29,1))))</f>
        <v>N/A</v>
      </c>
      <c r="AI61" s="75" t="str" cm="1">
        <f t="array" aca="1" ref="AI61" ca="1">IF($B61="","",IF(ISBLANK(INDIRECT("'R10.Documentos no web'!D"&amp;SUM(18,38*30,1))),"",INDIRECT("'R10.Documentos no web'!D"&amp;SUM(18,38*30,1))))</f>
        <v>N/A</v>
      </c>
      <c r="AJ61" s="75" t="str" cm="1">
        <f t="array" aca="1" ref="AJ61" ca="1">IF($B61="","",IF(ISBLANK(INDIRECT("'R10.Documentos no web'!D"&amp;SUM(18,38*31,1))),"",INDIRECT("'R10.Documentos no web'!D"&amp;SUM(18,38*31,1))))</f>
        <v>N/A</v>
      </c>
      <c r="AK61" s="75" t="str" cm="1">
        <f t="array" aca="1" ref="AK61" ca="1">IF($B61="","",IF(ISBLANK(INDIRECT("'R10.Documentos no web'!D"&amp;SUM(18,38*32,1))),"",INDIRECT("'R10.Documentos no web'!D"&amp;SUM(18,38*32,1))))</f>
        <v>N/A</v>
      </c>
      <c r="AL61" s="75" t="str" cm="1">
        <f t="array" aca="1" ref="AL61" ca="1">IF($B61="","",IF(ISBLANK(INDIRECT("'R10.Documentos no web'!D"&amp;SUM(18,38*33,1))),"",INDIRECT("'R10.Documentos no web'!D"&amp;SUM(18,38*33,1))))</f>
        <v>N/A</v>
      </c>
      <c r="AM61" s="75" t="str" cm="1">
        <f t="array" aca="1" ref="AM61" ca="1">IF($B61="","",IF(ISBLANK(INDIRECT("'R10.Documentos no web'!D"&amp;SUM(18,38*34,1))),"",INDIRECT("'R10.Documentos no web'!D"&amp;SUM(18,38*34,1))))</f>
        <v>Pasa</v>
      </c>
      <c r="AN61" s="75" t="str" cm="1">
        <f t="array" aca="1" ref="AN61" ca="1">IF($B61="","",IF(ISBLANK(INDIRECT("'R10.Documentos no web'!D"&amp;SUM(18,38*35,1))),"",INDIRECT("'R10.Documentos no web'!D"&amp;SUM(18,38*35,1))))</f>
        <v>N/A</v>
      </c>
      <c r="AO61" s="75" t="str" cm="1">
        <f t="array" aca="1" ref="AO61" ca="1">IF($B61="","",IF(ISBLANK(INDIRECT("'R10.Documentos no web'!D"&amp;SUM(18,38*36,1))),"",INDIRECT("'R10.Documentos no web'!D"&amp;SUM(18,38*36,1))))</f>
        <v>N/A</v>
      </c>
      <c r="AP61" s="75" t="str" cm="1">
        <f t="array" aca="1" ref="AP61" ca="1">IF($B61="","",IF(ISBLANK(INDIRECT("'R10.Documentos no web'!D"&amp;SUM(18,38*37,1))),"",INDIRECT("'R10.Documentos no web'!D"&amp;SUM(18,38*37,1))))</f>
        <v>N/A</v>
      </c>
      <c r="AQ61" s="75" t="str" cm="1">
        <f t="array" aca="1" ref="AQ61" ca="1">IF($B61="","",IF(ISBLANK(INDIRECT("'R10.Documentos no web'!D"&amp;SUM(18,38*38,1))),"",INDIRECT("'R10.Documentos no web'!D"&amp;SUM(18,38*38,1))))</f>
        <v>N/A</v>
      </c>
      <c r="AR61" s="75" t="str" cm="1">
        <f t="array" aca="1" ref="AR61" ca="1">IF($B61="","",IF(ISBLANK(INDIRECT("'R10.Documentos no web'!D"&amp;SUM(18,38*39,1))),"",INDIRECT("'R10.Documentos no web'!D"&amp;SUM(18,38*39,1))))</f>
        <v>N/A</v>
      </c>
      <c r="AS61" s="75" t="str" cm="1">
        <f t="array" aca="1" ref="AS61" ca="1">IF($B61="","",IF(ISBLANK(INDIRECT("'R10.Documentos no web'!D"&amp;SUM(18,38*40,1))),"",INDIRECT("'R10.Documentos no web'!D"&amp;SUM(18,38*40,1))))</f>
        <v>N/A</v>
      </c>
      <c r="AT61" s="75" t="str" cm="1">
        <f t="array" aca="1" ref="AT61" ca="1">IF($B61="","",IF(ISBLANK(INDIRECT("'R10.Documentos no web'!D"&amp;SUM(18,38*41,1))),"",INDIRECT("'R10.Documentos no web'!D"&amp;SUM(18,38*41,1))))</f>
        <v>N/A</v>
      </c>
      <c r="AU61" s="75" t="str" cm="1">
        <f t="array" aca="1" ref="AU61" ca="1">IF($B61="","",IF(ISBLANK(INDIRECT("'R10.Documentos no web'!D"&amp;SUM(18,38*42,1))),"",INDIRECT("'R10.Documentos no web'!D"&amp;SUM(18,38*42,1))))</f>
        <v>N/A</v>
      </c>
      <c r="AV61" s="75" t="str" cm="1">
        <f t="array" aca="1" ref="AV61" ca="1">IF($B61="","",IF(ISBLANK(INDIRECT("'R10.Documentos no web'!D"&amp;SUM(18,38*43,1))),"",INDIRECT("'R10.Documentos no web'!D"&amp;SUM(18,38*43,1))))</f>
        <v>N/A</v>
      </c>
      <c r="AW61" s="75" t="str" cm="1">
        <f t="array" aca="1" ref="AW61" ca="1">IF($B61="","",IF(ISBLANK(INDIRECT("'R10.Documentos no web'!D"&amp;SUM(18,38*44,1))),"",INDIRECT("'R10.Documentos no web'!D"&amp;SUM(18,38*44,1))))</f>
        <v>N/A</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266</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CONFORME</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CONFORME</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CONFORME</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CONFORME</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NO CONFORME</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CONFORME</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CONFORME</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413</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414</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415</v>
      </c>
      <c r="D7" s="84"/>
      <c r="E7" s="141" t="s">
        <v>416</v>
      </c>
      <c r="F7" s="84"/>
      <c r="G7" s="141" t="s">
        <v>417</v>
      </c>
      <c r="H7" s="84"/>
      <c r="I7" s="141" t="s">
        <v>418</v>
      </c>
      <c r="J7" s="84"/>
      <c r="K7" s="141" t="s">
        <v>419</v>
      </c>
      <c r="L7" s="84"/>
      <c r="M7" s="141" t="s">
        <v>419</v>
      </c>
      <c r="N7" s="84"/>
      <c r="O7" s="141" t="s">
        <v>420</v>
      </c>
      <c r="P7" s="84"/>
      <c r="R7" s="84"/>
      <c r="S7" s="141" t="s">
        <v>421</v>
      </c>
      <c r="T7" s="84"/>
      <c r="U7" s="141" t="s">
        <v>103</v>
      </c>
      <c r="V7" s="84"/>
    </row>
    <row r="8" spans="3:22">
      <c r="U8" s="135" t="s">
        <v>422</v>
      </c>
      <c r="V8" s="135"/>
    </row>
    <row r="9" spans="3:22" ht="12.75" customHeight="1">
      <c r="C9" s="3" t="s">
        <v>423</v>
      </c>
      <c r="E9" s="16" t="s">
        <v>36</v>
      </c>
      <c r="G9" t="s">
        <v>424</v>
      </c>
      <c r="I9" t="s">
        <v>425</v>
      </c>
      <c r="K9" t="s">
        <v>55</v>
      </c>
      <c r="M9" t="s">
        <v>426</v>
      </c>
      <c r="O9" t="s">
        <v>427</v>
      </c>
      <c r="S9" t="s">
        <v>428</v>
      </c>
      <c r="U9" s="21" t="s">
        <v>104</v>
      </c>
      <c r="V9" s="21"/>
    </row>
    <row r="10" spans="3:22" ht="12.75" customHeight="1">
      <c r="C10" s="3" t="s">
        <v>429</v>
      </c>
      <c r="E10" s="16" t="s">
        <v>38</v>
      </c>
      <c r="G10" t="s">
        <v>47</v>
      </c>
      <c r="I10" t="s">
        <v>430</v>
      </c>
      <c r="K10" t="s">
        <v>37</v>
      </c>
      <c r="M10" t="s">
        <v>431</v>
      </c>
      <c r="O10" t="s">
        <v>432</v>
      </c>
      <c r="S10" t="s">
        <v>433</v>
      </c>
      <c r="U10" s="21" t="s">
        <v>105</v>
      </c>
      <c r="V10" s="21"/>
    </row>
    <row r="11" spans="3:22" ht="12.75" customHeight="1">
      <c r="C11" s="3" t="s">
        <v>434</v>
      </c>
      <c r="E11" s="16" t="s">
        <v>39</v>
      </c>
      <c r="G11" t="s">
        <v>435</v>
      </c>
      <c r="O11" t="s">
        <v>436</v>
      </c>
      <c r="S11" t="s">
        <v>437</v>
      </c>
      <c r="U11" s="21" t="s">
        <v>106</v>
      </c>
      <c r="V11" s="21"/>
    </row>
    <row r="12" spans="3:22" ht="12.75" customHeight="1">
      <c r="C12" s="3" t="s">
        <v>438</v>
      </c>
      <c r="E12" s="16" t="s">
        <v>40</v>
      </c>
      <c r="O12" t="s">
        <v>439</v>
      </c>
      <c r="U12" s="21" t="s">
        <v>96</v>
      </c>
      <c r="V12" s="21"/>
    </row>
    <row r="13" spans="3:22" ht="12.75" customHeight="1">
      <c r="E13" s="16" t="s">
        <v>41</v>
      </c>
      <c r="O13" t="s">
        <v>440</v>
      </c>
      <c r="U13" s="21" t="s">
        <v>94</v>
      </c>
      <c r="V13" s="21"/>
    </row>
    <row r="14" spans="3:22" ht="12.75" customHeight="1">
      <c r="E14" s="16" t="s">
        <v>42</v>
      </c>
      <c r="O14" t="s">
        <v>441</v>
      </c>
    </row>
    <row r="15" spans="3:22" ht="12.75" customHeight="1">
      <c r="E15" s="16" t="s">
        <v>43</v>
      </c>
      <c r="O15" t="s">
        <v>442</v>
      </c>
    </row>
    <row r="16" spans="3:22" ht="12.75" customHeight="1">
      <c r="E16" s="16" t="s">
        <v>44</v>
      </c>
      <c r="O16" t="s">
        <v>443</v>
      </c>
    </row>
    <row r="17" spans="2:15" ht="12.75" customHeight="1">
      <c r="E17" s="16" t="s">
        <v>45</v>
      </c>
      <c r="O17" t="s">
        <v>444</v>
      </c>
    </row>
    <row r="18" spans="2:15" ht="12.75" customHeight="1">
      <c r="E18" s="16"/>
      <c r="O18" t="s">
        <v>445</v>
      </c>
    </row>
    <row r="19" spans="2:15" ht="12.75" customHeight="1">
      <c r="E19" s="16"/>
      <c r="O19" t="s">
        <v>446</v>
      </c>
    </row>
    <row r="20" spans="2:15" ht="12.75" customHeight="1">
      <c r="E20" s="29"/>
      <c r="O20" t="s">
        <v>447</v>
      </c>
    </row>
    <row r="21" spans="2:15" ht="12.75" customHeight="1">
      <c r="E21" s="17"/>
      <c r="O21" t="s">
        <v>448</v>
      </c>
    </row>
    <row r="22" spans="2:15" ht="12.75" customHeight="1">
      <c r="O22" t="s">
        <v>431</v>
      </c>
    </row>
    <row r="23" spans="2:15" ht="15.6">
      <c r="B23" s="30" t="s">
        <v>449</v>
      </c>
    </row>
    <row r="25" spans="2:15" ht="15.6">
      <c r="B25" s="31" t="s">
        <v>450</v>
      </c>
      <c r="C25" s="32">
        <v>0.1</v>
      </c>
    </row>
    <row r="26" spans="2:15" ht="15.6">
      <c r="B26" s="31" t="s">
        <v>451</v>
      </c>
      <c r="C26" s="32">
        <v>0.5</v>
      </c>
    </row>
    <row r="27" spans="2:15" ht="15.6">
      <c r="B27" s="31" t="s">
        <v>452</v>
      </c>
      <c r="C27" s="32">
        <v>1</v>
      </c>
    </row>
    <row r="28" spans="2:15">
      <c r="C28" s="33"/>
      <c r="D28" s="33"/>
    </row>
    <row r="29" spans="2:15">
      <c r="C29" s="33"/>
      <c r="D29" s="33"/>
    </row>
    <row r="30" spans="2:15" ht="13.8">
      <c r="B30" s="34" t="s">
        <v>453</v>
      </c>
      <c r="C30" s="208"/>
      <c r="D30" s="208"/>
    </row>
    <row r="31" spans="2:15" ht="13.8">
      <c r="B31" s="209"/>
      <c r="C31" s="208"/>
      <c r="D31" s="208"/>
    </row>
    <row r="32" spans="2:15" ht="13.8">
      <c r="B32" s="209" t="s">
        <v>454</v>
      </c>
      <c r="C32" s="209">
        <v>28</v>
      </c>
      <c r="D32" s="209"/>
    </row>
    <row r="33" spans="2:4" ht="13.8">
      <c r="B33" s="209" t="s">
        <v>455</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456</v>
      </c>
      <c r="B1" s="109"/>
      <c r="C1" s="109" t="s">
        <v>457</v>
      </c>
      <c r="D1" s="109"/>
      <c r="E1" s="109" t="s">
        <v>458</v>
      </c>
      <c r="F1" s="109"/>
      <c r="G1" s="109"/>
      <c r="H1" s="109"/>
      <c r="I1" s="109"/>
      <c r="J1" s="109"/>
      <c r="K1" s="109" t="s">
        <v>459</v>
      </c>
      <c r="L1" s="109"/>
      <c r="M1" s="109"/>
      <c r="T1" s="259" t="s">
        <v>264</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460</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461</v>
      </c>
      <c r="B2" s="111" t="str">
        <f>'00.Info'!N2</f>
        <v>Versión: 2.0.1</v>
      </c>
      <c r="C2" s="109" t="s">
        <v>14</v>
      </c>
      <c r="D2" s="112">
        <f>'01.Definición de ámbito'!C7</f>
        <v>0</v>
      </c>
      <c r="E2" s="109" t="s">
        <v>54</v>
      </c>
      <c r="F2" s="112" t="str">
        <f>'02.Tecnologías'!C9</f>
        <v>Sí</v>
      </c>
      <c r="G2" s="161" t="s">
        <v>462</v>
      </c>
      <c r="H2" s="161" t="s">
        <v>463</v>
      </c>
      <c r="I2" s="161"/>
      <c r="J2" s="161"/>
      <c r="K2" s="118" t="s">
        <v>464</v>
      </c>
      <c r="L2" s="163">
        <f>'03.Muestra'!D45</f>
        <v>18</v>
      </c>
      <c r="M2" s="109"/>
      <c r="T2" s="110" t="s">
        <v>465</v>
      </c>
      <c r="U2" s="110" t="s">
        <v>273</v>
      </c>
      <c r="V2" s="110" t="s">
        <v>466</v>
      </c>
      <c r="W2" s="110" t="s">
        <v>467</v>
      </c>
      <c r="X2" s="110" t="s">
        <v>468</v>
      </c>
      <c r="Y2" s="110" t="s">
        <v>469</v>
      </c>
      <c r="Z2" s="110" t="s">
        <v>79</v>
      </c>
      <c r="AA2" s="110" t="s">
        <v>275</v>
      </c>
      <c r="AB2" s="110" t="s">
        <v>276</v>
      </c>
      <c r="AC2" s="110" t="s">
        <v>277</v>
      </c>
      <c r="AD2" s="110" t="s">
        <v>278</v>
      </c>
      <c r="AE2" s="110" t="s">
        <v>279</v>
      </c>
      <c r="AF2" s="110" t="s">
        <v>280</v>
      </c>
      <c r="AG2" s="110" t="s">
        <v>281</v>
      </c>
      <c r="AH2" s="110" t="s">
        <v>282</v>
      </c>
      <c r="AI2" s="110" t="s">
        <v>283</v>
      </c>
      <c r="AJ2" s="110" t="s">
        <v>284</v>
      </c>
      <c r="AK2" s="110" t="s">
        <v>285</v>
      </c>
      <c r="AL2" s="110" t="s">
        <v>286</v>
      </c>
      <c r="AM2" s="110" t="s">
        <v>287</v>
      </c>
      <c r="AN2" s="110" t="s">
        <v>288</v>
      </c>
      <c r="AO2" s="110" t="s">
        <v>289</v>
      </c>
      <c r="AP2" s="110" t="s">
        <v>290</v>
      </c>
      <c r="AQ2" s="110" t="s">
        <v>291</v>
      </c>
      <c r="AR2" s="110" t="s">
        <v>292</v>
      </c>
      <c r="AS2" s="110" t="s">
        <v>293</v>
      </c>
      <c r="AT2" s="110" t="s">
        <v>294</v>
      </c>
      <c r="AU2" s="110" t="s">
        <v>295</v>
      </c>
      <c r="AV2" s="110" t="s">
        <v>296</v>
      </c>
      <c r="AW2" s="110" t="s">
        <v>297</v>
      </c>
      <c r="AX2" s="110" t="s">
        <v>298</v>
      </c>
      <c r="AY2" s="110" t="s">
        <v>299</v>
      </c>
      <c r="AZ2" s="110" t="s">
        <v>300</v>
      </c>
      <c r="BA2" s="110" t="s">
        <v>301</v>
      </c>
      <c r="BB2" s="110" t="s">
        <v>302</v>
      </c>
      <c r="BC2" s="110" t="s">
        <v>303</v>
      </c>
      <c r="BD2" s="110" t="s">
        <v>304</v>
      </c>
      <c r="BE2" s="110" t="s">
        <v>305</v>
      </c>
      <c r="BF2" s="110" t="s">
        <v>306</v>
      </c>
      <c r="BG2" s="110" t="s">
        <v>307</v>
      </c>
      <c r="BH2" s="110" t="s">
        <v>308</v>
      </c>
      <c r="BI2" s="110" t="s">
        <v>309</v>
      </c>
      <c r="BJ2" s="110" t="s">
        <v>310</v>
      </c>
      <c r="BK2" s="110" t="s">
        <v>311</v>
      </c>
      <c r="BL2" s="110" t="s">
        <v>312</v>
      </c>
      <c r="BM2" s="110" t="s">
        <v>313</v>
      </c>
      <c r="BN2" s="110" t="s">
        <v>314</v>
      </c>
      <c r="BO2" s="110" t="s">
        <v>315</v>
      </c>
      <c r="BP2" s="110" t="s">
        <v>316</v>
      </c>
      <c r="BQ2" s="110" t="s">
        <v>317</v>
      </c>
      <c r="BR2" s="110" t="s">
        <v>318</v>
      </c>
      <c r="BS2" s="110" t="s">
        <v>319</v>
      </c>
      <c r="BT2" s="110" t="s">
        <v>320</v>
      </c>
      <c r="BU2" s="110" t="s">
        <v>321</v>
      </c>
      <c r="BV2" s="110" t="s">
        <v>322</v>
      </c>
      <c r="BW2" s="110" t="s">
        <v>323</v>
      </c>
      <c r="BX2" s="110" t="s">
        <v>324</v>
      </c>
      <c r="BY2" s="110" t="s">
        <v>325</v>
      </c>
      <c r="BZ2" s="110" t="s">
        <v>326</v>
      </c>
      <c r="CA2" s="110" t="s">
        <v>327</v>
      </c>
      <c r="CB2" s="110" t="s">
        <v>328</v>
      </c>
      <c r="CC2" s="110" t="s">
        <v>329</v>
      </c>
      <c r="CD2" s="110" t="s">
        <v>330</v>
      </c>
      <c r="CE2" s="110" t="s">
        <v>331</v>
      </c>
      <c r="CF2" s="110" t="s">
        <v>332</v>
      </c>
      <c r="CG2" s="110" t="s">
        <v>333</v>
      </c>
      <c r="CH2" s="110" t="s">
        <v>334</v>
      </c>
      <c r="CI2" s="110" t="s">
        <v>335</v>
      </c>
      <c r="CJ2" s="110" t="s">
        <v>336</v>
      </c>
      <c r="CK2" s="110" t="s">
        <v>337</v>
      </c>
      <c r="CL2" s="110" t="s">
        <v>338</v>
      </c>
      <c r="CM2" s="110" t="s">
        <v>339</v>
      </c>
      <c r="CN2" s="110" t="s">
        <v>340</v>
      </c>
      <c r="CO2" s="110" t="s">
        <v>341</v>
      </c>
      <c r="CP2" s="110" t="s">
        <v>342</v>
      </c>
      <c r="CQ2" s="110" t="s">
        <v>343</v>
      </c>
      <c r="CR2" s="110" t="s">
        <v>344</v>
      </c>
      <c r="CS2" s="110" t="s">
        <v>345</v>
      </c>
      <c r="CT2" s="110" t="s">
        <v>346</v>
      </c>
      <c r="CU2" s="110" t="s">
        <v>347</v>
      </c>
      <c r="CV2" s="110" t="s">
        <v>348</v>
      </c>
      <c r="CW2" s="110" t="s">
        <v>349</v>
      </c>
      <c r="CX2" s="110" t="s">
        <v>350</v>
      </c>
      <c r="CY2" s="110" t="s">
        <v>351</v>
      </c>
      <c r="CZ2" s="110" t="s">
        <v>352</v>
      </c>
      <c r="DA2" s="110" t="s">
        <v>353</v>
      </c>
      <c r="DB2" s="110" t="s">
        <v>354</v>
      </c>
      <c r="DC2" s="110" t="s">
        <v>355</v>
      </c>
      <c r="DD2" s="110" t="s">
        <v>356</v>
      </c>
      <c r="DE2" s="110" t="s">
        <v>357</v>
      </c>
      <c r="DF2" s="110" t="s">
        <v>358</v>
      </c>
      <c r="DG2" s="110" t="s">
        <v>359</v>
      </c>
      <c r="DH2" s="110" t="s">
        <v>360</v>
      </c>
      <c r="DI2" s="110" t="s">
        <v>361</v>
      </c>
      <c r="DJ2" s="110" t="s">
        <v>362</v>
      </c>
      <c r="DK2" s="110" t="s">
        <v>363</v>
      </c>
      <c r="DL2" s="110" t="s">
        <v>364</v>
      </c>
      <c r="DM2" s="110" t="s">
        <v>365</v>
      </c>
      <c r="DN2" s="110" t="s">
        <v>366</v>
      </c>
      <c r="DO2" s="110" t="s">
        <v>465</v>
      </c>
      <c r="DP2" s="110" t="s">
        <v>273</v>
      </c>
      <c r="DQ2" s="110" t="s">
        <v>466</v>
      </c>
      <c r="DR2" s="110" t="s">
        <v>467</v>
      </c>
      <c r="DS2" s="110" t="s">
        <v>468</v>
      </c>
      <c r="DT2" s="110" t="s">
        <v>469</v>
      </c>
      <c r="DU2" s="110" t="s">
        <v>79</v>
      </c>
      <c r="DV2" s="110" t="s">
        <v>368</v>
      </c>
      <c r="DW2" s="109" t="s">
        <v>369</v>
      </c>
      <c r="DX2" s="109" t="s">
        <v>370</v>
      </c>
      <c r="DY2" s="109" t="s">
        <v>371</v>
      </c>
      <c r="DZ2" s="109" t="s">
        <v>372</v>
      </c>
      <c r="EA2" s="109" t="s">
        <v>373</v>
      </c>
      <c r="EB2" s="109" t="s">
        <v>374</v>
      </c>
      <c r="EC2" s="109" t="s">
        <v>375</v>
      </c>
      <c r="ED2" s="109" t="s">
        <v>376</v>
      </c>
      <c r="EE2" s="109" t="s">
        <v>377</v>
      </c>
      <c r="EF2" s="109" t="s">
        <v>378</v>
      </c>
      <c r="EG2" s="109" t="s">
        <v>379</v>
      </c>
      <c r="EH2" s="109" t="s">
        <v>380</v>
      </c>
      <c r="EI2" s="109" t="s">
        <v>381</v>
      </c>
      <c r="EJ2" s="109" t="s">
        <v>382</v>
      </c>
      <c r="EK2" s="109" t="s">
        <v>383</v>
      </c>
      <c r="EL2" s="109" t="s">
        <v>384</v>
      </c>
      <c r="EM2" s="109" t="s">
        <v>385</v>
      </c>
      <c r="EN2" s="109" t="s">
        <v>386</v>
      </c>
      <c r="EO2" s="109" t="s">
        <v>387</v>
      </c>
      <c r="EP2" s="109" t="s">
        <v>388</v>
      </c>
      <c r="EQ2" s="109" t="s">
        <v>389</v>
      </c>
      <c r="ER2" s="109" t="s">
        <v>390</v>
      </c>
      <c r="ES2" s="109" t="s">
        <v>391</v>
      </c>
      <c r="ET2" s="109" t="s">
        <v>392</v>
      </c>
      <c r="EU2" s="109" t="s">
        <v>393</v>
      </c>
      <c r="EV2" s="109" t="s">
        <v>394</v>
      </c>
      <c r="EW2" s="109" t="s">
        <v>395</v>
      </c>
      <c r="EX2" s="109" t="s">
        <v>396</v>
      </c>
      <c r="EY2" s="109" t="s">
        <v>397</v>
      </c>
      <c r="EZ2" s="109" t="s">
        <v>398</v>
      </c>
      <c r="FA2" s="109" t="s">
        <v>399</v>
      </c>
      <c r="FB2" s="109" t="s">
        <v>400</v>
      </c>
      <c r="FC2" s="109" t="s">
        <v>401</v>
      </c>
      <c r="FD2" s="109" t="s">
        <v>402</v>
      </c>
      <c r="FE2" s="109" t="s">
        <v>403</v>
      </c>
      <c r="FF2" s="109" t="s">
        <v>404</v>
      </c>
      <c r="FG2" s="109" t="s">
        <v>405</v>
      </c>
      <c r="FH2" s="109" t="s">
        <v>406</v>
      </c>
      <c r="FI2" s="109" t="s">
        <v>407</v>
      </c>
      <c r="FJ2" s="109" t="s">
        <v>408</v>
      </c>
      <c r="FK2" s="109" t="s">
        <v>409</v>
      </c>
      <c r="FL2" s="109" t="s">
        <v>410</v>
      </c>
      <c r="FM2" s="109" t="s">
        <v>411</v>
      </c>
      <c r="FN2" s="109" t="s">
        <v>412</v>
      </c>
    </row>
    <row r="3" spans="1:170">
      <c r="C3" s="109" t="s">
        <v>15</v>
      </c>
      <c r="D3" s="112">
        <f>'01.Definición de ámbito'!C9</f>
        <v>0</v>
      </c>
      <c r="E3" s="109" t="s">
        <v>58</v>
      </c>
      <c r="F3" s="112" t="str">
        <f>'02.Tecnologías'!C10</f>
        <v>No</v>
      </c>
      <c r="G3" s="112">
        <f>'02.Tecnologías'!K13</f>
        <v>0</v>
      </c>
      <c r="H3" s="112">
        <f>'02.Tecnologías'!L13</f>
        <v>0</v>
      </c>
      <c r="I3" s="162"/>
      <c r="J3" s="162"/>
      <c r="K3" s="118" t="s">
        <v>470</v>
      </c>
      <c r="L3" s="163">
        <f>'03.Muestra'!D47</f>
        <v>18</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https://www.comunidad.madrid/tacp/</v>
      </c>
      <c r="Y3" s="113" t="str">
        <f t="array" ref="Y3:Y37">IFERROR(INDEX('03.Muestra'!$G$8:$G$42,SMALL(IF("Página Web"='03.Muestra'!$D$8:$D$42,ROW('03.Muestra'!$G$8:$GE$42)-MIN(ROW('03.Muestra'!$D$8:$D$42))+1,""),ROW()-2)),"")</f>
        <v>TACP</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Pasa</v>
      </c>
      <c r="BM3" s="111" t="str">
        <f ca="1">RESULTADOS!AQ20</f>
        <v>N/A</v>
      </c>
      <c r="BN3" s="111" t="str">
        <f ca="1">RESULTADOS!AR20</f>
        <v>N/A</v>
      </c>
      <c r="BO3" s="111" t="str">
        <f ca="1">RESULTADOS!AS20</f>
        <v>Pasa</v>
      </c>
      <c r="BP3" s="111" t="str">
        <f ca="1">RESULTADOS!AT20</f>
        <v>N/A</v>
      </c>
      <c r="BQ3" s="111" t="str">
        <f ca="1">RESULTADOS!AU20</f>
        <v>N/A</v>
      </c>
      <c r="BR3" s="111" t="str">
        <f ca="1">RESULTADOS!AV20</f>
        <v>Pasa</v>
      </c>
      <c r="BS3" s="111" t="str">
        <f ca="1">RESULTADOS!AW20</f>
        <v>Pasa</v>
      </c>
      <c r="BT3" s="111" t="str">
        <f ca="1">RESULTADOS!AX20</f>
        <v>N/A</v>
      </c>
      <c r="BU3" s="111" t="str">
        <f ca="1">RESULTADOS!AY20</f>
        <v>Pasa</v>
      </c>
      <c r="BV3" s="111" t="str">
        <f ca="1">RESULTADOS!AZ20</f>
        <v>Pasa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Pasa</v>
      </c>
      <c r="CH3" s="111" t="str">
        <f ca="1">RESULTADOS!BL20</f>
        <v>Pasa</v>
      </c>
      <c r="CI3" s="111" t="str">
        <f ca="1">RESULTADOS!BM20</f>
        <v>Pasa</v>
      </c>
      <c r="CJ3" s="111" t="str">
        <f ca="1">RESULTADOS!BN20</f>
        <v>Pasa</v>
      </c>
      <c r="CK3" s="111" t="str">
        <f ca="1">RESULTADOS!BO20</f>
        <v>Falla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N/A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Pasa</v>
      </c>
      <c r="DB3" s="111" t="str">
        <f ca="1">RESULTADOS!CF20</f>
        <v>N/A</v>
      </c>
      <c r="DC3" s="111" t="str">
        <f ca="1">RESULTADOS!CG20</f>
        <v>Pasa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Pasa</v>
      </c>
      <c r="DL3" s="111" t="str">
        <f ca="1">RESULTADOS!CP20</f>
        <v>Pasa</v>
      </c>
      <c r="DM3" s="111" t="str">
        <f ca="1">RESULTADOS!CQ20</f>
        <v>Pasa</v>
      </c>
      <c r="DN3" s="111" t="str">
        <f ca="1">RESULTADOS!CR20</f>
        <v>Pasa</v>
      </c>
      <c r="DO3" s="113">
        <f>RESULTADOS!B61</f>
        <v>18</v>
      </c>
      <c r="DP3" s="113" t="str">
        <f>RESULTADOS!C61</f>
        <v>Resolucion</v>
      </c>
      <c r="DQ3" s="113" t="str">
        <f>IF(DO3&lt;&gt;"","Documento no web","")</f>
        <v>Documento no web</v>
      </c>
      <c r="DR3" s="113" t="str" cm="1">
        <f t="array" ref="DR3">IFERROR(INDEX('03.Muestra'!$E$8:$E$42,SMALL(IF("Documento no web"='03.Muestra'!$D$8:$D$42,ROW('03.Muestra'!$E$8:$E$42)-MIN(ROW('03.Muestra'!$D$8:$D$42))+1,""),ROW()-2)),"")</f>
        <v>Documento descargable</v>
      </c>
      <c r="DS3" s="113" t="str">
        <f>RESULTADOS!D61</f>
        <v>https://www.comunidad.madrid/tacp/busquedaresoluciones</v>
      </c>
      <c r="DT3" s="113" t="str" cm="1">
        <f t="array" ref="DT3">IFERROR(INDEX('03.Muestra'!$G$8:$G$42,SMALL(IF("Documento no web"='03.Muestra'!$D$8:$D$42,ROW('03.Muestra'!$G$8:$G$42)-MIN(ROW('03.Muestra'!$D$8:$D$42))+1,""),ROW()-2)),"")</f>
        <v>TACP - Buscador de resoluciones - Resolucion</v>
      </c>
      <c r="DU3" s="188" cm="1">
        <f t="array" ref="DU3">IFERROR(INDEX('03.Muestra'!$H$8:$H$42,SMALL(IF("Documento no web"='03.Muestra'!$D$8:$D$42,ROW('03.Muestra'!$H$8:$H$42)-MIN(ROW('03.Muestra'!$D$8:$D$42))+1,""),ROW()-2)),"")</f>
        <v>0</v>
      </c>
      <c r="DV3" s="111" t="str">
        <f ca="1">RESULTADOS!E61</f>
        <v>Pasa</v>
      </c>
      <c r="DW3" s="111" t="str">
        <f ca="1">RESULTADOS!F61</f>
        <v>N/A</v>
      </c>
      <c r="DX3" s="111" t="str">
        <f ca="1">RESULTADOS!G61</f>
        <v>N/A</v>
      </c>
      <c r="DY3" s="111" t="str">
        <f ca="1">RESULTADOS!H61</f>
        <v>N/A</v>
      </c>
      <c r="DZ3" s="111" t="str">
        <f ca="1">RESULTADOS!I61</f>
        <v>N/A</v>
      </c>
      <c r="EA3" s="111" t="str">
        <f ca="1">RESULTADOS!J61</f>
        <v>Pasa</v>
      </c>
      <c r="EB3" s="111" t="str">
        <f ca="1">RESULTADOS!K61</f>
        <v>Pasa</v>
      </c>
      <c r="EC3" s="111" t="str">
        <f ca="1">RESULTADOS!L61</f>
        <v>N/A</v>
      </c>
      <c r="ED3" s="111" t="str">
        <f ca="1">RESULTADOS!M61</f>
        <v>N/A</v>
      </c>
      <c r="EE3" s="111" t="str">
        <f ca="1">RESULTADOS!N61</f>
        <v>N/A</v>
      </c>
      <c r="EF3" s="111" t="str">
        <f ca="1">RESULTADOS!O61</f>
        <v>N/A</v>
      </c>
      <c r="EG3" s="111" t="str">
        <f ca="1">RESULTADOS!P61</f>
        <v>N/A</v>
      </c>
      <c r="EH3" s="111" t="str">
        <f ca="1">RESULTADOS!Q61</f>
        <v>Pasa</v>
      </c>
      <c r="EI3" s="111" t="str">
        <f ca="1">RESULTADOS!R61</f>
        <v>N/A</v>
      </c>
      <c r="EJ3" s="111" t="str">
        <f ca="1">RESULTADOS!S61</f>
        <v>N/A</v>
      </c>
      <c r="EK3" s="111" t="str">
        <f ca="1">RESULTADOS!T61</f>
        <v>N/A</v>
      </c>
      <c r="EL3" s="111" t="str">
        <f ca="1">RESULTADOS!U61</f>
        <v>N/A</v>
      </c>
      <c r="EM3" s="111" t="str">
        <f ca="1">RESULTADOS!V61</f>
        <v>N/A</v>
      </c>
      <c r="EN3" s="111" t="str">
        <f ca="1">RESULTADOS!W61</f>
        <v>N/A</v>
      </c>
      <c r="EO3" s="111" t="str">
        <f ca="1">RESULTADOS!X61</f>
        <v>N/A</v>
      </c>
      <c r="EP3" s="111" t="str">
        <f ca="1">RESULTADOS!Y61</f>
        <v>N/A</v>
      </c>
      <c r="EQ3" s="111" t="str">
        <f ca="1">RESULTADOS!Z61</f>
        <v>N/A</v>
      </c>
      <c r="ER3" s="111" t="str">
        <f ca="1">RESULTADOS!AA61</f>
        <v>N/A</v>
      </c>
      <c r="ES3" s="111" t="str">
        <f ca="1">RESULTADOS!AB61</f>
        <v>N/A</v>
      </c>
      <c r="ET3" s="111" t="str">
        <f ca="1">RESULTADOS!AC61</f>
        <v>N/A</v>
      </c>
      <c r="EU3" s="111" t="str">
        <f ca="1">RESULTADOS!AD61</f>
        <v>Falla</v>
      </c>
      <c r="EV3" s="111" t="str">
        <f ca="1">RESULTADOS!AE61</f>
        <v>N/A</v>
      </c>
      <c r="EW3" s="111" t="str">
        <f ca="1">RESULTADOS!AF61</f>
        <v>N/A</v>
      </c>
      <c r="EX3" s="111" t="str">
        <f ca="1">RESULTADOS!AG61</f>
        <v>Pasa</v>
      </c>
      <c r="EY3" s="111" t="str">
        <f ca="1">RESULTADOS!AH61</f>
        <v>N/A</v>
      </c>
      <c r="EZ3" s="111" t="str">
        <f ca="1">RESULTADOS!AI61</f>
        <v>N/A</v>
      </c>
      <c r="FA3" s="111" t="str">
        <f ca="1">RESULTADOS!AJ61</f>
        <v>N/A</v>
      </c>
      <c r="FB3" s="111" t="str">
        <f ca="1">RESULTADOS!AK61</f>
        <v>N/A</v>
      </c>
      <c r="FC3" s="111" t="str">
        <f ca="1">RESULTADOS!AL61</f>
        <v>N/A</v>
      </c>
      <c r="FD3" s="111" t="str">
        <f ca="1">RESULTADOS!AM61</f>
        <v>Pasa</v>
      </c>
      <c r="FE3" s="111" t="str">
        <f ca="1">RESULTADOS!AN61</f>
        <v>N/A</v>
      </c>
      <c r="FF3" s="111" t="str">
        <f ca="1">RESULTADOS!AO61</f>
        <v>N/A</v>
      </c>
      <c r="FG3" s="111" t="str">
        <f ca="1">RESULTADOS!AP61</f>
        <v>N/A</v>
      </c>
      <c r="FH3" s="111" t="str">
        <f ca="1">RESULTADOS!AQ61</f>
        <v>N/A</v>
      </c>
      <c r="FI3" s="111" t="str">
        <f ca="1">RESULTADOS!AR61</f>
        <v>N/A</v>
      </c>
      <c r="FJ3" s="111" t="str">
        <f ca="1">RESULTADOS!AS61</f>
        <v>N/A</v>
      </c>
      <c r="FK3" s="111" t="str">
        <f ca="1">RESULTADOS!AT61</f>
        <v>N/A</v>
      </c>
      <c r="FL3" s="111" t="str">
        <f ca="1">RESULTADOS!AU61</f>
        <v>N/A</v>
      </c>
      <c r="FM3" s="111" t="str">
        <f ca="1">RESULTADOS!AV61</f>
        <v>N/A</v>
      </c>
      <c r="FN3" s="111" t="str">
        <f ca="1">RESULTADOS!AW61</f>
        <v>N/A</v>
      </c>
    </row>
    <row r="4" spans="1:170">
      <c r="C4" s="109" t="s">
        <v>16</v>
      </c>
      <c r="D4" s="112">
        <f>'01.Definición de ámbito'!C11</f>
        <v>0</v>
      </c>
      <c r="E4" s="109" t="s">
        <v>61</v>
      </c>
      <c r="F4" s="112" t="str">
        <f>'02.Tecnologías'!C11</f>
        <v>No</v>
      </c>
      <c r="G4" s="112">
        <f>'02.Tecnologías'!K14</f>
        <v>0</v>
      </c>
      <c r="H4" s="112">
        <f>'02.Tecnologías'!L14</f>
        <v>0</v>
      </c>
      <c r="I4" s="162"/>
      <c r="J4" s="162"/>
      <c r="K4" s="118" t="s">
        <v>471</v>
      </c>
      <c r="L4" s="163">
        <f>'03.Muestra'!D49</f>
        <v>0</v>
      </c>
      <c r="M4" s="109"/>
      <c r="T4" s="113">
        <f>RESULTADOS!B21</f>
        <v>2</v>
      </c>
      <c r="U4" s="113" t="str">
        <f>RESULTADOS!C21</f>
        <v>Carta del presidente</v>
      </c>
      <c r="V4" s="113" t="str">
        <f t="shared" ref="V4:V37" si="0">IF(T4&lt;&gt;"","Página web","")</f>
        <v>Página web</v>
      </c>
      <c r="W4" s="113" t="str">
        <v>Pagina tipo</v>
      </c>
      <c r="X4" s="113" t="str">
        <f>RESULTADOS!D21</f>
        <v>https://www.comunidad.madrid/tacp/carta-del-presidente</v>
      </c>
      <c r="Y4" s="113" t="str">
        <v>TACP - EL TRIBUNAL</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N/A</v>
      </c>
      <c r="BN4" s="111" t="str">
        <f ca="1">RESULTADOS!AR21</f>
        <v>N/A</v>
      </c>
      <c r="BO4" s="111" t="str">
        <f ca="1">RESULTADOS!AS21</f>
        <v>N/A</v>
      </c>
      <c r="BP4" s="111" t="str">
        <f ca="1">RESULTADOS!AT21</f>
        <v>N/A</v>
      </c>
      <c r="BQ4" s="111" t="str">
        <f ca="1">RESULTADOS!AU21</f>
        <v>N/A</v>
      </c>
      <c r="BR4" s="111" t="str">
        <f ca="1">RESULTADOS!AV21</f>
        <v>Pasa</v>
      </c>
      <c r="BS4" s="111" t="str">
        <f ca="1">RESULTADOS!AW21</f>
        <v>Pasa</v>
      </c>
      <c r="BT4" s="111" t="str">
        <f ca="1">RESULTADOS!AX21</f>
        <v>N/A</v>
      </c>
      <c r="BU4" s="111" t="str">
        <f ca="1">RESULTADOS!AY21</f>
        <v>Pasa</v>
      </c>
      <c r="BV4" s="111" t="str">
        <f ca="1">RESULTADOS!AZ21</f>
        <v>Pasa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Pasa</v>
      </c>
      <c r="CK4" s="111" t="str">
        <f ca="1">RESULTADOS!BO21</f>
        <v>Falla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Pasa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Pasa</v>
      </c>
      <c r="DL4" s="111" t="str">
        <f ca="1">RESULTADOS!CP21</f>
        <v>Pasa</v>
      </c>
      <c r="DM4" s="111" t="str">
        <f ca="1">RESULTADOS!CQ21</f>
        <v>Pasa</v>
      </c>
      <c r="DN4" s="111" t="str">
        <f ca="1">RESULTADOS!CR21</f>
        <v>Pasa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64</v>
      </c>
      <c r="F5" s="112" t="str">
        <f>'02.Tecnologías'!C12</f>
        <v>Sí</v>
      </c>
      <c r="G5" s="112">
        <f>'02.Tecnologías'!K15</f>
        <v>0</v>
      </c>
      <c r="H5" s="112">
        <f>'02.Tecnologías'!L15</f>
        <v>0</v>
      </c>
      <c r="I5" s="162"/>
      <c r="J5" s="162"/>
      <c r="K5" s="118" t="s">
        <v>472</v>
      </c>
      <c r="L5" s="163" t="str">
        <f>'03.Muestra'!D52</f>
        <v>NO</v>
      </c>
      <c r="M5" s="109"/>
      <c r="T5" s="113">
        <f>RESULTADOS!B22</f>
        <v>3</v>
      </c>
      <c r="U5" s="113" t="str">
        <f>RESULTADOS!C22</f>
        <v>Organización</v>
      </c>
      <c r="V5" s="113" t="str">
        <f t="shared" si="0"/>
        <v>Página web</v>
      </c>
      <c r="W5" s="113" t="str">
        <v>Pagina tipo</v>
      </c>
      <c r="X5" s="113" t="str">
        <f>RESULTADOS!D22</f>
        <v>https://www.comunidad.madrid/tacp/el-tribunal/organización</v>
      </c>
      <c r="Y5" s="113" t="str">
        <v>TACP - EL TRIBUNAL - Organización</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N/A</v>
      </c>
      <c r="BN5" s="111" t="str">
        <f ca="1">RESULTADOS!AR22</f>
        <v>N/A</v>
      </c>
      <c r="BO5" s="111" t="str">
        <f ca="1">RESULTADOS!AS22</f>
        <v>N/A</v>
      </c>
      <c r="BP5" s="111" t="str">
        <f ca="1">RESULTADOS!AT22</f>
        <v>N/A</v>
      </c>
      <c r="BQ5" s="111" t="str">
        <f ca="1">RESULTADOS!AU22</f>
        <v>N/A</v>
      </c>
      <c r="BR5" s="111" t="str">
        <f ca="1">RESULTADOS!AV22</f>
        <v>Pasa</v>
      </c>
      <c r="BS5" s="111" t="str">
        <f ca="1">RESULTADOS!AW22</f>
        <v>Pasa</v>
      </c>
      <c r="BT5" s="111" t="str">
        <f ca="1">RESULTADOS!AX22</f>
        <v>N/A</v>
      </c>
      <c r="BU5" s="111" t="str">
        <f ca="1">RESULTADOS!AY22</f>
        <v>Pasa</v>
      </c>
      <c r="BV5" s="111" t="str">
        <f ca="1">RESULTADOS!AZ22</f>
        <v>Pasa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Pasa</v>
      </c>
      <c r="CK5" s="111" t="str">
        <f ca="1">RESULTADOS!BO22</f>
        <v>Falla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Pasa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Pasa</v>
      </c>
      <c r="DL5" s="111" t="str">
        <f ca="1">RESULTADOS!CP22</f>
        <v>Pasa</v>
      </c>
      <c r="DM5" s="111" t="str">
        <f ca="1">RESULTADOS!CQ22</f>
        <v>Pasa</v>
      </c>
      <c r="DN5" s="111" t="str">
        <f ca="1">RESULTADOS!CR22</f>
        <v>Pasa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69</v>
      </c>
      <c r="F6" s="112" t="str">
        <f>'02.Tecnologías'!C13</f>
        <v>Sí</v>
      </c>
      <c r="G6" s="112">
        <f>'02.Tecnologías'!K16</f>
        <v>0</v>
      </c>
      <c r="H6" s="112">
        <f>'02.Tecnologías'!L16</f>
        <v>0</v>
      </c>
      <c r="I6" s="162"/>
      <c r="J6" s="162"/>
      <c r="K6" s="109"/>
      <c r="L6" s="109"/>
      <c r="M6" s="109"/>
      <c r="T6" s="113">
        <f>RESULTADOS!B23</f>
        <v>4</v>
      </c>
      <c r="U6" s="113" t="str">
        <f>RESULTADOS!C23</f>
        <v>Acuerdos</v>
      </c>
      <c r="V6" s="113" t="str">
        <f t="shared" si="0"/>
        <v>Página web</v>
      </c>
      <c r="W6" s="113" t="str">
        <v>Pagina tipo</v>
      </c>
      <c r="X6" s="113" t="str">
        <f>RESULTADOS!D23</f>
        <v>https://www.comunidad.madrid/tacp/el-tribunal/acuerdos-del-tacp</v>
      </c>
      <c r="Y6" s="113" t="str">
        <v>TACP - EL TRIBUNAL - Acuerdos del TACP</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N/A</v>
      </c>
      <c r="BN6" s="111" t="str">
        <f ca="1">RESULTADOS!AR23</f>
        <v>N/A</v>
      </c>
      <c r="BO6" s="111" t="str">
        <f ca="1">RESULTADOS!AS23</f>
        <v>N/A</v>
      </c>
      <c r="BP6" s="111" t="str">
        <f ca="1">RESULTADOS!AT23</f>
        <v>N/A</v>
      </c>
      <c r="BQ6" s="111" t="str">
        <f ca="1">RESULTADOS!AU23</f>
        <v>N/A</v>
      </c>
      <c r="BR6" s="111" t="str">
        <f ca="1">RESULTADOS!AV23</f>
        <v>Pasa</v>
      </c>
      <c r="BS6" s="111" t="str">
        <f ca="1">RESULTADOS!AW23</f>
        <v>Pasa</v>
      </c>
      <c r="BT6" s="111" t="str">
        <f ca="1">RESULTADOS!AX23</f>
        <v>N/A</v>
      </c>
      <c r="BU6" s="111" t="str">
        <f ca="1">RESULTADOS!AY23</f>
        <v>Pasa</v>
      </c>
      <c r="BV6" s="111" t="str">
        <f ca="1">RESULTADOS!AZ23</f>
        <v>Pasa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Pasa</v>
      </c>
      <c r="CI6" s="111" t="str">
        <f ca="1">RESULTADOS!BM23</f>
        <v>Pasa</v>
      </c>
      <c r="CJ6" s="111" t="str">
        <f ca="1">RESULTADOS!BN23</f>
        <v>Pasa</v>
      </c>
      <c r="CK6" s="111" t="str">
        <f ca="1">RESULTADOS!BO23</f>
        <v>Falla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N/A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Pasa</v>
      </c>
      <c r="DB6" s="111" t="str">
        <f ca="1">RESULTADOS!CF23</f>
        <v>N/A</v>
      </c>
      <c r="DC6" s="111" t="str">
        <f ca="1">RESULTADOS!CG23</f>
        <v>Pasa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Pasa</v>
      </c>
      <c r="DL6" s="111" t="str">
        <f ca="1">RESULTADOS!CP23</f>
        <v>Pasa</v>
      </c>
      <c r="DM6" s="111" t="str">
        <f ca="1">RESULTADOS!CQ23</f>
        <v>Pasa</v>
      </c>
      <c r="DN6" s="111" t="str">
        <f ca="1">RESULTADOS!CR23</f>
        <v>Pasa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56</v>
      </c>
      <c r="F7" s="112" t="str">
        <f>'02.Tecnologías'!F9</f>
        <v>No</v>
      </c>
      <c r="G7" s="112">
        <f>'02.Tecnologías'!K17</f>
        <v>0</v>
      </c>
      <c r="H7" s="112">
        <f>'02.Tecnologías'!L17</f>
        <v>0</v>
      </c>
      <c r="I7" s="162"/>
      <c r="J7" s="162"/>
      <c r="K7" s="109"/>
      <c r="L7" s="109"/>
      <c r="M7" s="109"/>
      <c r="T7" s="113">
        <f>RESULTADOS!B24</f>
        <v>5</v>
      </c>
      <c r="U7" s="113" t="str">
        <f>RESULTADOS!C24</f>
        <v>Presentacion</v>
      </c>
      <c r="V7" s="113" t="str">
        <f t="shared" si="0"/>
        <v>Página web</v>
      </c>
      <c r="W7" s="113" t="str">
        <v>Pagina tipo</v>
      </c>
      <c r="X7" s="113" t="str">
        <f>RESULTADOS!D24</f>
        <v>https://www.comunidad.madrid/tacp/el-tribunal/presentacion-electronica-e-impresos-normalizados</v>
      </c>
      <c r="Y7" s="113" t="str">
        <v>TACP - EL TRIBUNAL - Presentacion Electrónica</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N/A</v>
      </c>
      <c r="BN7" s="111" t="str">
        <f ca="1">RESULTADOS!AR24</f>
        <v>N/A</v>
      </c>
      <c r="BO7" s="111" t="str">
        <f ca="1">RESULTADOS!AS24</f>
        <v>N/A</v>
      </c>
      <c r="BP7" s="111" t="str">
        <f ca="1">RESULTADOS!AT24</f>
        <v>N/A</v>
      </c>
      <c r="BQ7" s="111" t="str">
        <f ca="1">RESULTADOS!AU24</f>
        <v>N/A</v>
      </c>
      <c r="BR7" s="111" t="str">
        <f ca="1">RESULTADOS!AV24</f>
        <v>Pasa</v>
      </c>
      <c r="BS7" s="111" t="str">
        <f ca="1">RESULTADOS!AW24</f>
        <v>Pasa</v>
      </c>
      <c r="BT7" s="111" t="str">
        <f ca="1">RESULTADOS!AX24</f>
        <v>N/A</v>
      </c>
      <c r="BU7" s="111" t="str">
        <f ca="1">RESULTADOS!AY24</f>
        <v>Pasa</v>
      </c>
      <c r="BV7" s="111" t="str">
        <f ca="1">RESULTADOS!AZ24</f>
        <v>Pasa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Pasa</v>
      </c>
      <c r="CI7" s="111" t="str">
        <f ca="1">RESULTADOS!BM24</f>
        <v>Pasa</v>
      </c>
      <c r="CJ7" s="111" t="str">
        <f ca="1">RESULTADOS!BN24</f>
        <v>Pasa</v>
      </c>
      <c r="CK7" s="111" t="str">
        <f ca="1">RESULTADOS!BO24</f>
        <v>Falla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Pasa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Pasa</v>
      </c>
      <c r="DL7" s="111" t="str">
        <f ca="1">RESULTADOS!CP24</f>
        <v>Pasa</v>
      </c>
      <c r="DM7" s="111" t="str">
        <f ca="1">RESULTADOS!CQ24</f>
        <v>Pasa</v>
      </c>
      <c r="DN7" s="111" t="str">
        <f ca="1">RESULTADOS!CR24</f>
        <v>Pasa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59</v>
      </c>
      <c r="F8" s="112" t="str">
        <f>'02.Tecnologías'!F10</f>
        <v>No</v>
      </c>
      <c r="G8" s="112">
        <f>'02.Tecnologías'!K18</f>
        <v>0</v>
      </c>
      <c r="H8" s="112">
        <f>'02.Tecnologías'!L18</f>
        <v>0</v>
      </c>
      <c r="I8" s="162"/>
      <c r="J8" s="162"/>
      <c r="K8" s="109"/>
      <c r="L8" s="109"/>
      <c r="M8" s="109"/>
      <c r="T8" s="113">
        <f>RESULTADOS!B25</f>
        <v>6</v>
      </c>
      <c r="U8" s="113" t="str">
        <f>RESULTADOS!C25</f>
        <v>Guia</v>
      </c>
      <c r="V8" s="113" t="str">
        <f t="shared" si="0"/>
        <v>Página web</v>
      </c>
      <c r="W8" s="113" t="str">
        <v>Pagina tipo</v>
      </c>
      <c r="X8" s="113" t="str">
        <f>RESULTADOS!D25</f>
        <v>https://www.comunidad.madrid/tacp/el-tribunal/guia-informativa-sobre-la-regulacion-del-tribunal-de-contratacion-publica-y-los</v>
      </c>
      <c r="Y8" s="113" t="str">
        <v>TACP - EL TRIBUNAL - Guia de procedimiento</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N/A</v>
      </c>
      <c r="BN8" s="111" t="str">
        <f ca="1">RESULTADOS!AR25</f>
        <v>N/A</v>
      </c>
      <c r="BO8" s="111" t="str">
        <f ca="1">RESULTADOS!AS25</f>
        <v>N/A</v>
      </c>
      <c r="BP8" s="111" t="str">
        <f ca="1">RESULTADOS!AT25</f>
        <v>N/A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Pasa</v>
      </c>
      <c r="CK8" s="111" t="str">
        <f ca="1">RESULTADOS!BO25</f>
        <v>Falla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Pasa</v>
      </c>
      <c r="DB8" s="111" t="str">
        <f ca="1">RESULTADOS!CF25</f>
        <v>N/A</v>
      </c>
      <c r="DC8" s="111" t="str">
        <f ca="1">RESULTADOS!CG25</f>
        <v>Pasa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Pasa</v>
      </c>
      <c r="DL8" s="111" t="str">
        <f ca="1">RESULTADOS!CP25</f>
        <v>Pasa</v>
      </c>
      <c r="DM8" s="111" t="str">
        <f ca="1">RESULTADOS!CQ25</f>
        <v>Pasa</v>
      </c>
      <c r="DN8" s="111" t="str">
        <f ca="1">RESULTADOS!CR25</f>
        <v>Pasa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f>'01.Definición de ámbito'!C25</f>
        <v>0</v>
      </c>
      <c r="E9" s="109" t="s">
        <v>62</v>
      </c>
      <c r="F9" s="112" t="str">
        <f>'02.Tecnologías'!F11</f>
        <v>No</v>
      </c>
      <c r="G9" s="112">
        <f>'02.Tecnologías'!K19</f>
        <v>0</v>
      </c>
      <c r="H9" s="112">
        <f>'02.Tecnologías'!L19</f>
        <v>0</v>
      </c>
      <c r="I9" s="162"/>
      <c r="J9" s="162"/>
      <c r="K9" s="109"/>
      <c r="L9" s="109"/>
      <c r="M9" s="109"/>
      <c r="T9" s="113">
        <f>RESULTADOS!B26</f>
        <v>7</v>
      </c>
      <c r="U9" s="113" t="str">
        <f>RESULTADOS!C26</f>
        <v>Preguntas</v>
      </c>
      <c r="V9" s="113" t="str">
        <f t="shared" si="0"/>
        <v>Página web</v>
      </c>
      <c r="W9" s="113" t="str">
        <v>Pagina tipo</v>
      </c>
      <c r="X9" s="113" t="str">
        <f>RESULTADOS!D26</f>
        <v>https://www.comunidad.madrid/tacp/faq-page</v>
      </c>
      <c r="Y9" s="113" t="str">
        <v>TACP - EL TRIBUNAL - Preguntas frecuentes</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N/A</v>
      </c>
      <c r="BN9" s="111" t="str">
        <f ca="1">RESULTADOS!AR26</f>
        <v>N/A</v>
      </c>
      <c r="BO9" s="111" t="str">
        <f ca="1">RESULTADOS!AS26</f>
        <v>N/A</v>
      </c>
      <c r="BP9" s="111" t="str">
        <f ca="1">RESULTADOS!AT26</f>
        <v>N/A</v>
      </c>
      <c r="BQ9" s="111" t="str">
        <f ca="1">RESULTADOS!AU26</f>
        <v>N/A</v>
      </c>
      <c r="BR9" s="111" t="str">
        <f ca="1">RESULTADOS!AV26</f>
        <v>Pasa</v>
      </c>
      <c r="BS9" s="111" t="str">
        <f ca="1">RESULTADOS!AW26</f>
        <v>Pasa</v>
      </c>
      <c r="BT9" s="111" t="str">
        <f ca="1">RESULTADOS!AX26</f>
        <v>N/A</v>
      </c>
      <c r="BU9" s="111" t="str">
        <f ca="1">RESULTADOS!AY26</f>
        <v>Pasa</v>
      </c>
      <c r="BV9" s="111" t="str">
        <f ca="1">RESULTADOS!AZ26</f>
        <v>Pasa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Pasa</v>
      </c>
      <c r="CK9" s="111" t="str">
        <f ca="1">RESULTADOS!BO26</f>
        <v>Falla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Pasa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Pasa</v>
      </c>
      <c r="DL9" s="111" t="str">
        <f ca="1">RESULTADOS!CP26</f>
        <v>Pasa</v>
      </c>
      <c r="DM9" s="111" t="str">
        <f ca="1">RESULTADOS!CQ26</f>
        <v>Pasa</v>
      </c>
      <c r="DN9" s="111" t="str">
        <f ca="1">RESULTADOS!CR26</f>
        <v>Pasa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Tribunal Administrativo de contratación pública</v>
      </c>
      <c r="E10" s="109" t="s">
        <v>65</v>
      </c>
      <c r="F10" s="112" t="str">
        <f>'02.Tecnologías'!F12</f>
        <v>No</v>
      </c>
      <c r="G10" s="112">
        <f>'02.Tecnologías'!K20</f>
        <v>0</v>
      </c>
      <c r="H10" s="112">
        <f>'02.Tecnologías'!L20</f>
        <v>0</v>
      </c>
      <c r="I10" s="162"/>
      <c r="J10" s="162"/>
      <c r="K10" s="109" t="s">
        <v>473</v>
      </c>
      <c r="L10" s="109"/>
      <c r="M10" s="109"/>
      <c r="T10" s="113">
        <f>RESULTADOS!B27</f>
        <v>8</v>
      </c>
      <c r="U10" s="113" t="str">
        <f>RESULTADOS!C27</f>
        <v>Histórico</v>
      </c>
      <c r="V10" s="113" t="str">
        <f t="shared" si="0"/>
        <v>Página web</v>
      </c>
      <c r="W10" s="113" t="str">
        <v>Pagina tipo</v>
      </c>
      <c r="X10" s="113" t="str">
        <f>RESULTADOS!D27</f>
        <v>https://www.comunidad.madrid/tacp/el-tribunal/historico-resoluciones-de-las-reclamaciones-de-acceso-informacion-publica</v>
      </c>
      <c r="Y10" s="113" t="str">
        <v>TACP - EL TRIBUNAL - Histórico</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Pasa</v>
      </c>
      <c r="BM10" s="111" t="str">
        <f ca="1">RESULTADOS!AQ27</f>
        <v>N/A</v>
      </c>
      <c r="BN10" s="111" t="str">
        <f ca="1">RESULTADOS!AR27</f>
        <v>N/A</v>
      </c>
      <c r="BO10" s="111" t="str">
        <f ca="1">RESULTADOS!AS27</f>
        <v>N/A</v>
      </c>
      <c r="BP10" s="111" t="str">
        <f ca="1">RESULTADOS!AT27</f>
        <v>N/A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Pasa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Pasa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Pasa</v>
      </c>
      <c r="DL10" s="111" t="str">
        <f ca="1">RESULTADOS!CP27</f>
        <v>Pasa</v>
      </c>
      <c r="DM10" s="111" t="str">
        <f ca="1">RESULTADOS!CQ27</f>
        <v>Pasa</v>
      </c>
      <c r="DN10" s="111" t="str">
        <f ca="1">RESULTADOS!CR27</f>
        <v>Pasa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https://www.comunidad.madrid/tacp/</v>
      </c>
      <c r="E11" s="109" t="s">
        <v>70</v>
      </c>
      <c r="F11" s="112" t="str">
        <f>'02.Tecnologías'!F13</f>
        <v>No</v>
      </c>
      <c r="G11" s="112">
        <f>'02.Tecnologías'!K21</f>
        <v>0</v>
      </c>
      <c r="H11" s="112">
        <f>'02.Tecnologías'!L21</f>
        <v>0</v>
      </c>
      <c r="I11" s="162"/>
      <c r="J11" s="162"/>
      <c r="K11" s="109" t="s">
        <v>254</v>
      </c>
      <c r="L11" s="109"/>
      <c r="M11" s="109"/>
      <c r="N11" s="109"/>
      <c r="O11" s="109"/>
      <c r="P11" s="109"/>
      <c r="T11" s="113">
        <f>RESULTADOS!B28</f>
        <v>9</v>
      </c>
      <c r="U11" s="113" t="str">
        <f>RESULTADOS!C28</f>
        <v>Estudios</v>
      </c>
      <c r="V11" s="113" t="str">
        <f t="shared" si="0"/>
        <v>Página web</v>
      </c>
      <c r="W11" s="113" t="str">
        <v>Pagina tipo</v>
      </c>
      <c r="X11" s="113" t="str">
        <f>RESULTADOS!D28</f>
        <v>https://www.comunidad.madrid/tacp/estudios</v>
      </c>
      <c r="Y11" s="113" t="str">
        <v>TACP - PUBLICACIONES - Estudios</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N/A</v>
      </c>
      <c r="BN11" s="111" t="str">
        <f ca="1">RESULTADOS!AR28</f>
        <v>N/A</v>
      </c>
      <c r="BO11" s="111" t="str">
        <f ca="1">RESULTADOS!AS28</f>
        <v>N/A</v>
      </c>
      <c r="BP11" s="111" t="str">
        <f ca="1">RESULTADOS!AT28</f>
        <v>N/A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Pasa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N/A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Pasa</v>
      </c>
      <c r="DA11" s="111" t="str">
        <f ca="1">RESULTADOS!CE28</f>
        <v>Pasa</v>
      </c>
      <c r="DB11" s="111" t="str">
        <f ca="1">RESULTADOS!CF28</f>
        <v>N/A</v>
      </c>
      <c r="DC11" s="111" t="str">
        <f ca="1">RESULTADOS!CG28</f>
        <v>Pasa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Pasa</v>
      </c>
      <c r="DL11" s="111" t="str">
        <f ca="1">RESULTADOS!CP28</f>
        <v>Pasa</v>
      </c>
      <c r="DM11" s="111" t="str">
        <f ca="1">RESULTADOS!CQ28</f>
        <v>Pasa</v>
      </c>
      <c r="DN11" s="111" t="str">
        <f ca="1">RESULTADOS!CR28</f>
        <v>Pasa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revisamos la accesibilidad de el módulo tecnico TACP</v>
      </c>
      <c r="E12" s="109" t="s">
        <v>57</v>
      </c>
      <c r="F12" s="112" t="str">
        <f>'02.Tecnologías'!I9</f>
        <v>No</v>
      </c>
      <c r="G12" s="112">
        <f>'02.Tecnologías'!K22</f>
        <v>0</v>
      </c>
      <c r="H12" s="112">
        <f>'02.Tecnologías'!L22</f>
        <v>0</v>
      </c>
      <c r="I12" s="162"/>
      <c r="J12" s="162"/>
      <c r="K12" s="22" t="s">
        <v>474</v>
      </c>
      <c r="L12" s="22" t="s">
        <v>257</v>
      </c>
      <c r="M12" s="22" t="s">
        <v>258</v>
      </c>
      <c r="N12" s="22" t="s">
        <v>99</v>
      </c>
      <c r="O12" s="22" t="s">
        <v>259</v>
      </c>
      <c r="P12" s="22" t="s">
        <v>475</v>
      </c>
      <c r="T12" s="113">
        <f>RESULTADOS!B29</f>
        <v>10</v>
      </c>
      <c r="U12" s="113" t="str">
        <f>RESULTADOS!C29</f>
        <v>Memorias</v>
      </c>
      <c r="V12" s="113" t="str">
        <f t="shared" si="0"/>
        <v>Página web</v>
      </c>
      <c r="W12" s="113" t="str">
        <v>Pagina tipo</v>
      </c>
      <c r="X12" s="113" t="str">
        <f>RESULTADOS!D29</f>
        <v>https://www.comunidad.madrid/tacp/memorias</v>
      </c>
      <c r="Y12" s="113" t="str">
        <v>TACP - PUBLICACIONES - Memorias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N/A</v>
      </c>
      <c r="BN12" s="111" t="str">
        <f ca="1">RESULTADOS!AR29</f>
        <v>N/A</v>
      </c>
      <c r="BO12" s="111" t="str">
        <f ca="1">RESULTADOS!AS29</f>
        <v>N/A</v>
      </c>
      <c r="BP12" s="111" t="str">
        <f ca="1">RESULTADOS!AT29</f>
        <v>N/A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Pasa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Pasa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N/A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Pasa</v>
      </c>
      <c r="DA12" s="111" t="str">
        <f ca="1">RESULTADOS!CE29</f>
        <v>Pasa</v>
      </c>
      <c r="DB12" s="111" t="str">
        <f ca="1">RESULTADOS!CF29</f>
        <v>N/A</v>
      </c>
      <c r="DC12" s="111" t="str">
        <f ca="1">RESULTADOS!CG29</f>
        <v>Pasa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Pasa</v>
      </c>
      <c r="DL12" s="111" t="str">
        <f ca="1">RESULTADOS!CP29</f>
        <v>Pasa</v>
      </c>
      <c r="DM12" s="111" t="str">
        <f ca="1">RESULTADOS!CQ29</f>
        <v>Pasa</v>
      </c>
      <c r="DN12" s="111" t="str">
        <f ca="1">RESULTADOS!CR29</f>
        <v>Pasa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Informacion y resolucion de dudas sobre el tribunal administrativo de contratación pública</v>
      </c>
      <c r="E13" s="109" t="s">
        <v>60</v>
      </c>
      <c r="F13" s="112" t="str">
        <f>'02.Tecnologías'!I10</f>
        <v>No</v>
      </c>
      <c r="G13" s="112">
        <f>'02.Tecnologías'!K23</f>
        <v>0</v>
      </c>
      <c r="H13" s="112">
        <f>'02.Tecnologías'!L23</f>
        <v>0</v>
      </c>
      <c r="I13" s="162"/>
      <c r="J13" s="162"/>
      <c r="K13" t="s">
        <v>476</v>
      </c>
      <c r="L13" s="164" t="str">
        <f ca="1">RESULTADOS!E8</f>
        <v>31 (33,7 %)</v>
      </c>
      <c r="M13" s="164" t="str">
        <f ca="1">RESULTADOS!F8</f>
        <v>3 (3,26 %)</v>
      </c>
      <c r="N13" s="164" t="str">
        <f ca="1">RESULTADOS!G8</f>
        <v>58 (63,04 %)</v>
      </c>
      <c r="O13" s="113">
        <f ca="1">RESULTADOS!H8</f>
        <v>0</v>
      </c>
      <c r="P13" s="113">
        <f ca="1">RESULTADOS!I8</f>
        <v>0</v>
      </c>
      <c r="T13" s="113">
        <f>RESULTADOS!B30</f>
        <v>11</v>
      </c>
      <c r="U13" s="113" t="str">
        <f>RESULTADOS!C30</f>
        <v>Busqueda Resol</v>
      </c>
      <c r="V13" s="113" t="str">
        <f t="shared" si="0"/>
        <v>Página web</v>
      </c>
      <c r="W13" s="113" t="str">
        <v>Pagina tipo</v>
      </c>
      <c r="X13" s="113" t="str">
        <f>RESULTADOS!D30</f>
        <v>https://www.comunidad.madrid/tacp/busquedaresoluciones</v>
      </c>
      <c r="Y13" s="113" t="str">
        <v>TACP - BUSQUEDA DE RESOLUCIONES</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N/A</v>
      </c>
      <c r="BN13" s="111" t="str">
        <f ca="1">RESULTADOS!AR30</f>
        <v>N/A</v>
      </c>
      <c r="BO13" s="111" t="str">
        <f ca="1">RESULTADOS!AS30</f>
        <v>Pasa</v>
      </c>
      <c r="BP13" s="111" t="str">
        <f ca="1">RESULTADOS!AT30</f>
        <v>N/A</v>
      </c>
      <c r="BQ13" s="111" t="str">
        <f ca="1">RESULTADOS!AU30</f>
        <v>N/A</v>
      </c>
      <c r="BR13" s="111" t="str">
        <f ca="1">RESULTADOS!AV30</f>
        <v>Pasa</v>
      </c>
      <c r="BS13" s="111" t="str">
        <f ca="1">RESULTADOS!AW30</f>
        <v>Pasa</v>
      </c>
      <c r="BT13" s="111" t="str">
        <f ca="1">RESULTADOS!AX30</f>
        <v>N/A</v>
      </c>
      <c r="BU13" s="111" t="str">
        <f ca="1">RESULTADOS!AY30</f>
        <v>Pasa</v>
      </c>
      <c r="BV13" s="111" t="str">
        <f ca="1">RESULTADOS!AZ30</f>
        <v>Pasa</v>
      </c>
      <c r="BW13" s="111" t="str">
        <f ca="1">RESULTADOS!BA30</f>
        <v>Pasa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Falla</v>
      </c>
      <c r="CL13" s="111" t="str">
        <f ca="1">RESULTADOS!BP30</f>
        <v>N/A</v>
      </c>
      <c r="CM13" s="111" t="str">
        <f ca="1">RESULTADOS!BQ30</f>
        <v>N/A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N/A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Pasa</v>
      </c>
      <c r="DA13" s="111" t="str">
        <f ca="1">RESULTADOS!CE30</f>
        <v>Pasa</v>
      </c>
      <c r="DB13" s="111" t="str">
        <f ca="1">RESULTADOS!CF30</f>
        <v>N/A</v>
      </c>
      <c r="DC13" s="111" t="str">
        <f ca="1">RESULTADOS!CG30</f>
        <v>Pasa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Pasa</v>
      </c>
      <c r="DL13" s="111" t="str">
        <f ca="1">RESULTADOS!CP30</f>
        <v>Pasa</v>
      </c>
      <c r="DM13" s="111" t="str">
        <f ca="1">RESULTADOS!CQ30</f>
        <v>Pasa</v>
      </c>
      <c r="DN13" s="111" t="str">
        <f ca="1">RESULTADOS!CR30</f>
        <v>Pasa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45189</v>
      </c>
      <c r="E14" s="109" t="s">
        <v>63</v>
      </c>
      <c r="F14" s="112" t="str">
        <f>'02.Tecnologías'!I11</f>
        <v>No</v>
      </c>
      <c r="G14" s="161"/>
      <c r="H14" s="161"/>
      <c r="I14" s="161"/>
      <c r="J14" s="161"/>
      <c r="K14" t="s">
        <v>477</v>
      </c>
      <c r="L14" s="164" t="str">
        <f ca="1">RESULTADOS!E9</f>
        <v>6 (13,33 %)</v>
      </c>
      <c r="M14" s="164" t="str">
        <f ca="1">RESULTADOS!F9</f>
        <v>1 (2,22 %)</v>
      </c>
      <c r="N14" s="164" t="str">
        <f ca="1">RESULTADOS!G9</f>
        <v>38 (84,44 %)</v>
      </c>
      <c r="O14" s="113">
        <f ca="1">RESULTADOS!H9</f>
        <v>0</v>
      </c>
      <c r="P14" s="113">
        <f ca="1">RESULTADOS!I9</f>
        <v>0</v>
      </c>
      <c r="T14" s="113">
        <f>RESULTADOS!B31</f>
        <v>12</v>
      </c>
      <c r="U14" s="113" t="str">
        <f>RESULTADOS!C31</f>
        <v>Novedades</v>
      </c>
      <c r="V14" s="113" t="str">
        <f t="shared" si="0"/>
        <v>Página web</v>
      </c>
      <c r="W14" s="113" t="str">
        <v>Pagina tipo</v>
      </c>
      <c r="X14" s="113" t="str">
        <f>RESULTADOS!D31</f>
        <v>https://www.comunidad.madrid/tacp/noticias</v>
      </c>
      <c r="Y14" s="113" t="str">
        <v>TACP - Novedades</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N/A</v>
      </c>
      <c r="BN14" s="111" t="str">
        <f ca="1">RESULTADOS!AR31</f>
        <v>N/A</v>
      </c>
      <c r="BO14" s="111" t="str">
        <f ca="1">RESULTADOS!AS31</f>
        <v>Pasa</v>
      </c>
      <c r="BP14" s="111" t="str">
        <f ca="1">RESULTADOS!AT31</f>
        <v>N/A</v>
      </c>
      <c r="BQ14" s="111" t="str">
        <f ca="1">RESULTADOS!AU31</f>
        <v>N/A</v>
      </c>
      <c r="BR14" s="111" t="str">
        <f ca="1">RESULTADOS!AV31</f>
        <v>Pasa</v>
      </c>
      <c r="BS14" s="111" t="str">
        <f ca="1">RESULTADOS!AW31</f>
        <v>Pasa</v>
      </c>
      <c r="BT14" s="111" t="str">
        <f ca="1">RESULTADOS!AX31</f>
        <v>N/A</v>
      </c>
      <c r="BU14" s="111" t="str">
        <f ca="1">RESULTADOS!AY31</f>
        <v>Pasa</v>
      </c>
      <c r="BV14" s="111" t="str">
        <f ca="1">RESULTADOS!AZ31</f>
        <v>Pasa</v>
      </c>
      <c r="BW14" s="111" t="str">
        <f ca="1">RESULTADOS!BA31</f>
        <v>Pasa</v>
      </c>
      <c r="BX14" s="111" t="str">
        <f ca="1">RESULTADOS!BB31</f>
        <v>N/A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Pasa</v>
      </c>
      <c r="CH14" s="111" t="str">
        <f ca="1">RESULTADOS!BL31</f>
        <v>Pasa</v>
      </c>
      <c r="CI14" s="111" t="str">
        <f ca="1">RESULTADOS!BM31</f>
        <v>Pasa</v>
      </c>
      <c r="CJ14" s="111" t="str">
        <f ca="1">RESULTADOS!BN31</f>
        <v>Pasa</v>
      </c>
      <c r="CK14" s="111" t="str">
        <f ca="1">RESULTADOS!BO31</f>
        <v>Falla</v>
      </c>
      <c r="CL14" s="111" t="str">
        <f ca="1">RESULTADOS!BP31</f>
        <v>N/A</v>
      </c>
      <c r="CM14" s="111" t="str">
        <f ca="1">RESULTADOS!BQ31</f>
        <v>N/A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N/A</v>
      </c>
      <c r="CX14" s="111" t="str">
        <f ca="1">RESULTADOS!CB31</f>
        <v>N/A</v>
      </c>
      <c r="CY14" s="111" t="str">
        <f ca="1">RESULTADOS!CC31</f>
        <v>N/A</v>
      </c>
      <c r="CZ14" s="111" t="str">
        <f ca="1">RESULTADOS!CD31</f>
        <v>Pasa</v>
      </c>
      <c r="DA14" s="111" t="str">
        <f ca="1">RESULTADOS!CE31</f>
        <v>Pasa</v>
      </c>
      <c r="DB14" s="111" t="str">
        <f ca="1">RESULTADOS!CF31</f>
        <v>N/A</v>
      </c>
      <c r="DC14" s="111" t="str">
        <f ca="1">RESULTADOS!CG31</f>
        <v>Pasa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Pasa</v>
      </c>
      <c r="DL14" s="111" t="str">
        <f ca="1">RESULTADOS!CP31</f>
        <v>Pasa</v>
      </c>
      <c r="DM14" s="111" t="str">
        <f ca="1">RESULTADOS!CQ31</f>
        <v>Pasa</v>
      </c>
      <c r="DN14" s="111" t="str">
        <f ca="1">RESULTADOS!CR31</f>
        <v>Pasa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66</v>
      </c>
      <c r="F15" s="112" t="str">
        <f>'02.Tecnologías'!I12</f>
        <v>No</v>
      </c>
      <c r="G15" s="161"/>
      <c r="H15" s="161"/>
      <c r="I15" s="161"/>
      <c r="J15" s="161"/>
      <c r="T15" s="113">
        <f>RESULTADOS!B32</f>
        <v>13</v>
      </c>
      <c r="U15" s="113" t="str">
        <f>RESULTADOS!C32</f>
        <v>Recursos especiales</v>
      </c>
      <c r="V15" s="113" t="str">
        <f t="shared" si="0"/>
        <v>Página web</v>
      </c>
      <c r="W15" s="113" t="str">
        <v>Pagina tipo</v>
      </c>
      <c r="X15" s="113" t="str">
        <f>RESULTADOS!D32</f>
        <v>https://www.comunidad.madrid/tacp/novedades/publicacion-recursos-especiales-en-perfil-contratante</v>
      </c>
      <c r="Y15" s="113" t="str">
        <v>TACP - Novedades - Publicacion recursos en perfil contratante</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N/A</v>
      </c>
      <c r="BN15" s="111" t="str">
        <f ca="1">RESULTADOS!AR32</f>
        <v>N/A</v>
      </c>
      <c r="BO15" s="111" t="str">
        <f ca="1">RESULTADOS!AS32</f>
        <v>N/A</v>
      </c>
      <c r="BP15" s="111" t="str">
        <f ca="1">RESULTADOS!AT32</f>
        <v>N/A</v>
      </c>
      <c r="BQ15" s="111" t="str">
        <f ca="1">RESULTADOS!AU32</f>
        <v>N/A</v>
      </c>
      <c r="BR15" s="111" t="str">
        <f ca="1">RESULTADOS!AV32</f>
        <v>Pasa</v>
      </c>
      <c r="BS15" s="111" t="str">
        <f ca="1">RESULTADOS!AW32</f>
        <v>Pasa</v>
      </c>
      <c r="BT15" s="111" t="str">
        <f ca="1">RESULTADOS!AX32</f>
        <v>N/A</v>
      </c>
      <c r="BU15" s="111" t="str">
        <f ca="1">RESULTADOS!AY32</f>
        <v>Falla</v>
      </c>
      <c r="BV15" s="111" t="str">
        <f ca="1">RESULTADOS!AZ32</f>
        <v>Pasa</v>
      </c>
      <c r="BW15" s="111" t="str">
        <f ca="1">RESULTADOS!BA32</f>
        <v>Pasa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Pasa</v>
      </c>
      <c r="CH15" s="111" t="str">
        <f ca="1">RESULTADOS!BL32</f>
        <v>Pasa</v>
      </c>
      <c r="CI15" s="111" t="str">
        <f ca="1">RESULTADOS!BM32</f>
        <v>Pasa</v>
      </c>
      <c r="CJ15" s="111" t="str">
        <f ca="1">RESULTADOS!BN32</f>
        <v>Pasa</v>
      </c>
      <c r="CK15" s="111" t="str">
        <f ca="1">RESULTADOS!BO32</f>
        <v>Falla</v>
      </c>
      <c r="CL15" s="111" t="str">
        <f ca="1">RESULTADOS!BP32</f>
        <v>N/A</v>
      </c>
      <c r="CM15" s="111" t="str">
        <f ca="1">RESULTADOS!BQ32</f>
        <v>N/A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N/A</v>
      </c>
      <c r="CX15" s="111" t="str">
        <f ca="1">RESULTADOS!CB32</f>
        <v>N/A</v>
      </c>
      <c r="CY15" s="111" t="str">
        <f ca="1">RESULTADOS!CC32</f>
        <v>N/A</v>
      </c>
      <c r="CZ15" s="111" t="str">
        <f ca="1">RESULTADOS!CD32</f>
        <v>Pasa</v>
      </c>
      <c r="DA15" s="111" t="str">
        <f ca="1">RESULTADOS!CE32</f>
        <v>Pasa</v>
      </c>
      <c r="DB15" s="111" t="str">
        <f ca="1">RESULTADOS!CF32</f>
        <v>N/A</v>
      </c>
      <c r="DC15" s="111" t="str">
        <f ca="1">RESULTADOS!CG32</f>
        <v>Pasa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Pasa</v>
      </c>
      <c r="DL15" s="111" t="str">
        <f ca="1">RESULTADOS!CP32</f>
        <v>Pasa</v>
      </c>
      <c r="DM15" s="111" t="str">
        <f ca="1">RESULTADOS!CQ32</f>
        <v>Pasa</v>
      </c>
      <c r="DN15" s="111" t="str">
        <f ca="1">RESULTADOS!CR32</f>
        <v>Pasa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f>RESULTADOS!B33</f>
        <v>14</v>
      </c>
      <c r="U16" s="113" t="str">
        <f>RESULTADOS!C33</f>
        <v>Normativa</v>
      </c>
      <c r="V16" s="113" t="str">
        <f t="shared" si="0"/>
        <v>Página web</v>
      </c>
      <c r="W16" s="113" t="str">
        <v>Pagina tipo</v>
      </c>
      <c r="X16" s="113" t="str">
        <f>RESULTADOS!D33</f>
        <v>https://www.comunidad.madrid/es/tacp/normativa</v>
      </c>
      <c r="Y16" s="113" t="str">
        <v>TACP - Normativa</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N/A</v>
      </c>
      <c r="BN16" s="111" t="str">
        <f ca="1">RESULTADOS!AR33</f>
        <v>N/A</v>
      </c>
      <c r="BO16" s="111" t="str">
        <f ca="1">RESULTADOS!AS33</f>
        <v>N/A</v>
      </c>
      <c r="BP16" s="111" t="str">
        <f ca="1">RESULTADOS!AT33</f>
        <v>N/A</v>
      </c>
      <c r="BQ16" s="111" t="str">
        <f ca="1">RESULTADOS!AU33</f>
        <v>N/A</v>
      </c>
      <c r="BR16" s="111" t="str">
        <f ca="1">RESULTADOS!AV33</f>
        <v>Pasa</v>
      </c>
      <c r="BS16" s="111" t="str">
        <f ca="1">RESULTADOS!AW33</f>
        <v>Pasa</v>
      </c>
      <c r="BT16" s="111" t="str">
        <f ca="1">RESULTADOS!AX33</f>
        <v>N/A</v>
      </c>
      <c r="BU16" s="111" t="str">
        <f ca="1">RESULTADOS!AY33</f>
        <v>Pasa</v>
      </c>
      <c r="BV16" s="111" t="str">
        <f ca="1">RESULTADOS!AZ33</f>
        <v>Pasa</v>
      </c>
      <c r="BW16" s="111" t="str">
        <f ca="1">RESULTADOS!BA33</f>
        <v>Pasa</v>
      </c>
      <c r="BX16" s="111" t="str">
        <f ca="1">RESULTADOS!BB33</f>
        <v>N/A</v>
      </c>
      <c r="BY16" s="111" t="str">
        <f ca="1">RESULTADOS!BC33</f>
        <v>Falla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Pasa</v>
      </c>
      <c r="CH16" s="111" t="str">
        <f ca="1">RESULTADOS!BL33</f>
        <v>Pasa</v>
      </c>
      <c r="CI16" s="111" t="str">
        <f ca="1">RESULTADOS!BM33</f>
        <v>Pasa</v>
      </c>
      <c r="CJ16" s="111" t="str">
        <f ca="1">RESULTADOS!BN33</f>
        <v>Pasa</v>
      </c>
      <c r="CK16" s="111" t="str">
        <f ca="1">RESULTADOS!BO33</f>
        <v>Falla</v>
      </c>
      <c r="CL16" s="111" t="str">
        <f ca="1">RESULTADOS!BP33</f>
        <v>N/A</v>
      </c>
      <c r="CM16" s="111" t="str">
        <f ca="1">RESULTADOS!BQ33</f>
        <v>N/A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N/A</v>
      </c>
      <c r="CT16" s="111" t="str">
        <f ca="1">RESULTADOS!BX33</f>
        <v>Pasa</v>
      </c>
      <c r="CU16" s="111" t="str">
        <f ca="1">RESULTADOS!BY33</f>
        <v>Pasa</v>
      </c>
      <c r="CV16" s="111" t="str">
        <f ca="1">RESULTADOS!BZ33</f>
        <v>N/A</v>
      </c>
      <c r="CW16" s="111" t="str">
        <f ca="1">RESULTADOS!CA33</f>
        <v>N/A</v>
      </c>
      <c r="CX16" s="111" t="str">
        <f ca="1">RESULTADOS!CB33</f>
        <v>N/A</v>
      </c>
      <c r="CY16" s="111" t="str">
        <f ca="1">RESULTADOS!CC33</f>
        <v>N/A</v>
      </c>
      <c r="CZ16" s="111" t="str">
        <f ca="1">RESULTADOS!CD33</f>
        <v>Pasa</v>
      </c>
      <c r="DA16" s="111" t="str">
        <f ca="1">RESULTADOS!CE33</f>
        <v>Pasa</v>
      </c>
      <c r="DB16" s="111" t="str">
        <f ca="1">RESULTADOS!CF33</f>
        <v>N/A</v>
      </c>
      <c r="DC16" s="111" t="str">
        <f ca="1">RESULTADOS!CG33</f>
        <v>Pasa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Pasa</v>
      </c>
      <c r="DL16" s="111" t="str">
        <f ca="1">RESULTADOS!CP33</f>
        <v>Pasa</v>
      </c>
      <c r="DM16" s="111" t="str">
        <f ca="1">RESULTADOS!CQ33</f>
        <v>Pasa</v>
      </c>
      <c r="DN16" s="111" t="str">
        <f ca="1">RESULTADOS!CR33</f>
        <v>Pasa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31</v>
      </c>
      <c r="D17" s="112">
        <f>'01.Definición de ámbito'!C45</f>
        <v>0</v>
      </c>
      <c r="K17" t="s">
        <v>478</v>
      </c>
      <c r="T17" s="113">
        <f>RESULTADOS!B34</f>
        <v>15</v>
      </c>
      <c r="U17" s="113" t="str">
        <f>RESULTADOS!C34</f>
        <v>Organos Competentes</v>
      </c>
      <c r="V17" s="113" t="str">
        <f t="shared" si="0"/>
        <v>Página web</v>
      </c>
      <c r="W17" s="113" t="str">
        <v>Pagina tipo</v>
      </c>
      <c r="X17" s="113" t="str">
        <f>RESULTADOS!D34</f>
        <v>https://www.comunidad.madrid/es/tacp/otros-organos-competentes</v>
      </c>
      <c r="Y17" s="113" t="str">
        <v>TACP - Otros organos competentes</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Pasa</v>
      </c>
      <c r="BL17" s="111" t="str">
        <f ca="1">RESULTADOS!AP34</f>
        <v>Pasa</v>
      </c>
      <c r="BM17" s="111" t="str">
        <f ca="1">RESULTADOS!AQ34</f>
        <v>N/A</v>
      </c>
      <c r="BN17" s="111" t="str">
        <f ca="1">RESULTADOS!AR34</f>
        <v>N/A</v>
      </c>
      <c r="BO17" s="111" t="str">
        <f ca="1">RESULTADOS!AS34</f>
        <v>N/A</v>
      </c>
      <c r="BP17" s="111" t="str">
        <f ca="1">RESULTADOS!AT34</f>
        <v>N/A</v>
      </c>
      <c r="BQ17" s="111" t="str">
        <f ca="1">RESULTADOS!AU34</f>
        <v>N/A</v>
      </c>
      <c r="BR17" s="111" t="str">
        <f ca="1">RESULTADOS!AV34</f>
        <v>Pasa</v>
      </c>
      <c r="BS17" s="111" t="str">
        <f ca="1">RESULTADOS!AW34</f>
        <v>Pasa</v>
      </c>
      <c r="BT17" s="111" t="str">
        <f ca="1">RESULTADOS!AX34</f>
        <v>N/A</v>
      </c>
      <c r="BU17" s="111" t="str">
        <f ca="1">RESULTADOS!AY34</f>
        <v>Pasa</v>
      </c>
      <c r="BV17" s="111" t="str">
        <f ca="1">RESULTADOS!AZ34</f>
        <v>Pasa</v>
      </c>
      <c r="BW17" s="111" t="str">
        <f ca="1">RESULTADOS!BA34</f>
        <v>Pasa</v>
      </c>
      <c r="BX17" s="111" t="str">
        <f ca="1">RESULTADOS!BB34</f>
        <v>N/A</v>
      </c>
      <c r="BY17" s="111" t="str">
        <f ca="1">RESULTADOS!BC34</f>
        <v>Falla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Pasa</v>
      </c>
      <c r="CH17" s="111" t="str">
        <f ca="1">RESULTADOS!BL34</f>
        <v>Pasa</v>
      </c>
      <c r="CI17" s="111" t="str">
        <f ca="1">RESULTADOS!BM34</f>
        <v>Pasa</v>
      </c>
      <c r="CJ17" s="111" t="str">
        <f ca="1">RESULTADOS!BN34</f>
        <v>Pasa</v>
      </c>
      <c r="CK17" s="111" t="str">
        <f ca="1">RESULTADOS!BO34</f>
        <v>Falla</v>
      </c>
      <c r="CL17" s="111" t="str">
        <f ca="1">RESULTADOS!BP34</f>
        <v>N/A</v>
      </c>
      <c r="CM17" s="111" t="str">
        <f ca="1">RESULTADOS!BQ34</f>
        <v>N/A</v>
      </c>
      <c r="CN17" s="111" t="str">
        <f ca="1">RESULTADOS!BR34</f>
        <v>Pasa</v>
      </c>
      <c r="CO17" s="111" t="str">
        <f ca="1">RESULTADOS!BS34</f>
        <v>N/A</v>
      </c>
      <c r="CP17" s="111" t="str">
        <f ca="1">RESULTADOS!BT34</f>
        <v>Pasa</v>
      </c>
      <c r="CQ17" s="111" t="str">
        <f ca="1">RESULTADOS!BU34</f>
        <v>N/A</v>
      </c>
      <c r="CR17" s="111" t="str">
        <f ca="1">RESULTADOS!BV34</f>
        <v>Pasa</v>
      </c>
      <c r="CS17" s="111" t="str">
        <f ca="1">RESULTADOS!BW34</f>
        <v>N/A</v>
      </c>
      <c r="CT17" s="111" t="str">
        <f ca="1">RESULTADOS!BX34</f>
        <v>Pasa</v>
      </c>
      <c r="CU17" s="111" t="str">
        <f ca="1">RESULTADOS!BY34</f>
        <v>Pasa</v>
      </c>
      <c r="CV17" s="111" t="str">
        <f ca="1">RESULTADOS!BZ34</f>
        <v>N/A</v>
      </c>
      <c r="CW17" s="111" t="str">
        <f ca="1">RESULTADOS!CA34</f>
        <v>N/A</v>
      </c>
      <c r="CX17" s="111" t="str">
        <f ca="1">RESULTADOS!CB34</f>
        <v>N/A</v>
      </c>
      <c r="CY17" s="111" t="str">
        <f ca="1">RESULTADOS!CC34</f>
        <v>N/A</v>
      </c>
      <c r="CZ17" s="111" t="str">
        <f ca="1">RESULTADOS!CD34</f>
        <v>Pasa</v>
      </c>
      <c r="DA17" s="111" t="str">
        <f ca="1">RESULTADOS!CE34</f>
        <v>Pasa</v>
      </c>
      <c r="DB17" s="111" t="str">
        <f ca="1">RESULTADOS!CF34</f>
        <v>N/A</v>
      </c>
      <c r="DC17" s="111" t="str">
        <f ca="1">RESULTADOS!CG34</f>
        <v>Pasa</v>
      </c>
      <c r="DD17" s="111" t="str">
        <f ca="1">RESULTADOS!CH34</f>
        <v>N/A</v>
      </c>
      <c r="DE17" s="111" t="str">
        <f ca="1">RESULTADOS!CI34</f>
        <v>N/A</v>
      </c>
      <c r="DF17" s="111" t="str">
        <f ca="1">RESULTADOS!CJ34</f>
        <v>N/A</v>
      </c>
      <c r="DG17" s="111" t="str">
        <f ca="1">RESULTADOS!CK34</f>
        <v>N/A</v>
      </c>
      <c r="DH17" s="111" t="str">
        <f ca="1">RESULTADOS!CL34</f>
        <v>N/A</v>
      </c>
      <c r="DI17" s="111" t="str">
        <f ca="1">RESULTADOS!CM34</f>
        <v>N/A</v>
      </c>
      <c r="DJ17" s="111" t="str">
        <f ca="1">RESULTADOS!CN34</f>
        <v>Pasa</v>
      </c>
      <c r="DK17" s="111" t="str">
        <f ca="1">RESULTADOS!CO34</f>
        <v>Pasa</v>
      </c>
      <c r="DL17" s="111" t="str">
        <f ca="1">RESULTADOS!CP34</f>
        <v>Pasa</v>
      </c>
      <c r="DM17" s="111" t="str">
        <f ca="1">RESULTADOS!CQ34</f>
        <v>Pasa</v>
      </c>
      <c r="DN17" s="111" t="str">
        <f ca="1">RESULTADOS!CR34</f>
        <v>Pasa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36</v>
      </c>
      <c r="D18" s="112" t="str">
        <f>'01.Definición de ámbito'!D48</f>
        <v>No</v>
      </c>
      <c r="K18" t="s">
        <v>94</v>
      </c>
      <c r="L18" s="113">
        <f ca="1">RESULTADOS!L8</f>
        <v>488</v>
      </c>
      <c r="M18" s="171">
        <f ca="1">RESULTADOS!M8</f>
        <v>0.30329397141081416</v>
      </c>
      <c r="T18" s="113">
        <f>RESULTADOS!B35</f>
        <v>16</v>
      </c>
      <c r="U18" s="113" t="str">
        <f>RESULTADOS!C35</f>
        <v>Contacto</v>
      </c>
      <c r="V18" s="113" t="str">
        <f t="shared" si="0"/>
        <v>Página web</v>
      </c>
      <c r="W18" s="113" t="str">
        <v>Pagina tipo</v>
      </c>
      <c r="X18" s="113" t="str">
        <f>RESULTADOS!D35</f>
        <v>https://www.comunidad.madrid/es/tacp/contact</v>
      </c>
      <c r="Y18" s="113" t="str">
        <v>TACP - Contacte con nosotros</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Pasa</v>
      </c>
      <c r="BL18" s="111" t="str">
        <f ca="1">RESULTADOS!AP35</f>
        <v>Pasa</v>
      </c>
      <c r="BM18" s="111" t="str">
        <f ca="1">RESULTADOS!AQ35</f>
        <v>N/A</v>
      </c>
      <c r="BN18" s="111" t="str">
        <f ca="1">RESULTADOS!AR35</f>
        <v>N/A</v>
      </c>
      <c r="BO18" s="111" t="str">
        <f ca="1">RESULTADOS!AS35</f>
        <v>Pasa</v>
      </c>
      <c r="BP18" s="111" t="str">
        <f ca="1">RESULTADOS!AT35</f>
        <v>N/A</v>
      </c>
      <c r="BQ18" s="111" t="str">
        <f ca="1">RESULTADOS!AU35</f>
        <v>N/A</v>
      </c>
      <c r="BR18" s="111" t="str">
        <f ca="1">RESULTADOS!AV35</f>
        <v>Pasa</v>
      </c>
      <c r="BS18" s="111" t="str">
        <f ca="1">RESULTADOS!AW35</f>
        <v>Pasa</v>
      </c>
      <c r="BT18" s="111" t="str">
        <f ca="1">RESULTADOS!AX35</f>
        <v>N/A</v>
      </c>
      <c r="BU18" s="111" t="str">
        <f ca="1">RESULTADOS!AY35</f>
        <v>Pasa</v>
      </c>
      <c r="BV18" s="111" t="str">
        <f ca="1">RESULTADOS!AZ35</f>
        <v>Pasa</v>
      </c>
      <c r="BW18" s="111" t="str">
        <f ca="1">RESULTADOS!BA35</f>
        <v>Pasa</v>
      </c>
      <c r="BX18" s="111" t="str">
        <f ca="1">RESULTADOS!BB35</f>
        <v>N/A</v>
      </c>
      <c r="BY18" s="111" t="str">
        <f ca="1">RESULTADOS!BC35</f>
        <v>Falla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Pasa</v>
      </c>
      <c r="CI18" s="111" t="str">
        <f ca="1">RESULTADOS!BM35</f>
        <v>Pasa</v>
      </c>
      <c r="CJ18" s="111" t="str">
        <f ca="1">RESULTADOS!BN35</f>
        <v>Pasa</v>
      </c>
      <c r="CK18" s="111" t="str">
        <f ca="1">RESULTADOS!BO35</f>
        <v>Falla</v>
      </c>
      <c r="CL18" s="111" t="str">
        <f ca="1">RESULTADOS!BP35</f>
        <v>N/A</v>
      </c>
      <c r="CM18" s="111" t="str">
        <f ca="1">RESULTADOS!BQ35</f>
        <v>N/A</v>
      </c>
      <c r="CN18" s="111" t="str">
        <f ca="1">RESULTADOS!BR35</f>
        <v>Pasa</v>
      </c>
      <c r="CO18" s="111" t="str">
        <f ca="1">RESULTADOS!BS35</f>
        <v>N/A</v>
      </c>
      <c r="CP18" s="111" t="str">
        <f ca="1">RESULTADOS!BT35</f>
        <v>Pasa</v>
      </c>
      <c r="CQ18" s="111" t="str">
        <f ca="1">RESULTADOS!BU35</f>
        <v>N/A</v>
      </c>
      <c r="CR18" s="111" t="str">
        <f ca="1">RESULTADOS!BV35</f>
        <v>Pasa</v>
      </c>
      <c r="CS18" s="111" t="str">
        <f ca="1">RESULTADOS!BW35</f>
        <v>N/A</v>
      </c>
      <c r="CT18" s="111" t="str">
        <f ca="1">RESULTADOS!BX35</f>
        <v>Pasa</v>
      </c>
      <c r="CU18" s="111" t="str">
        <f ca="1">RESULTADOS!BY35</f>
        <v>Pasa</v>
      </c>
      <c r="CV18" s="111" t="str">
        <f ca="1">RESULTADOS!BZ35</f>
        <v>Pasa</v>
      </c>
      <c r="CW18" s="111" t="str">
        <f ca="1">RESULTADOS!CA35</f>
        <v>Pasa</v>
      </c>
      <c r="CX18" s="111" t="str">
        <f ca="1">RESULTADOS!CB35</f>
        <v>Falla</v>
      </c>
      <c r="CY18" s="111" t="str">
        <f ca="1">RESULTADOS!CC35</f>
        <v>N/A</v>
      </c>
      <c r="CZ18" s="111" t="str">
        <f ca="1">RESULTADOS!CD35</f>
        <v>Pasa</v>
      </c>
      <c r="DA18" s="111" t="str">
        <f ca="1">RESULTADOS!CE35</f>
        <v>Pasa</v>
      </c>
      <c r="DB18" s="111" t="str">
        <f ca="1">RESULTADOS!CF35</f>
        <v>N/A</v>
      </c>
      <c r="DC18" s="111" t="str">
        <f ca="1">RESULTADOS!CG35</f>
        <v>Pasa</v>
      </c>
      <c r="DD18" s="111" t="str">
        <f ca="1">RESULTADOS!CH35</f>
        <v>N/A</v>
      </c>
      <c r="DE18" s="111" t="str">
        <f ca="1">RESULTADOS!CI35</f>
        <v>N/A</v>
      </c>
      <c r="DF18" s="111" t="str">
        <f ca="1">RESULTADOS!CJ35</f>
        <v>N/A</v>
      </c>
      <c r="DG18" s="111" t="str">
        <f ca="1">RESULTADOS!CK35</f>
        <v>N/A</v>
      </c>
      <c r="DH18" s="111" t="str">
        <f ca="1">RESULTADOS!CL35</f>
        <v>N/A</v>
      </c>
      <c r="DI18" s="111" t="str">
        <f ca="1">RESULTADOS!CM35</f>
        <v>N/A</v>
      </c>
      <c r="DJ18" s="111" t="str">
        <f ca="1">RESULTADOS!CN35</f>
        <v>Pasa</v>
      </c>
      <c r="DK18" s="111" t="str">
        <f ca="1">RESULTADOS!CO35</f>
        <v>Pasa</v>
      </c>
      <c r="DL18" s="111" t="str">
        <f ca="1">RESULTADOS!CP35</f>
        <v>Pasa</v>
      </c>
      <c r="DM18" s="111" t="str">
        <f ca="1">RESULTADOS!CQ35</f>
        <v>Pasa</v>
      </c>
      <c r="DN18" s="111" t="str">
        <f ca="1">RESULTADOS!CR35</f>
        <v>Pasa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38</v>
      </c>
      <c r="D19" s="112" t="str">
        <f>'01.Definición de ámbito'!D49</f>
        <v>No</v>
      </c>
      <c r="K19" t="s">
        <v>96</v>
      </c>
      <c r="L19" s="113">
        <f ca="1">RESULTADOS!L9</f>
        <v>37</v>
      </c>
      <c r="M19" s="171">
        <f ca="1">RESULTADOS!M9</f>
        <v>2.2995649471721565E-2</v>
      </c>
      <c r="T19" s="113">
        <f>RESULTADOS!B36</f>
        <v>17</v>
      </c>
      <c r="U19" s="113" t="str">
        <f>RESULTADOS!C36</f>
        <v>Accesibilidad</v>
      </c>
      <c r="V19" s="113" t="str">
        <f t="shared" si="0"/>
        <v>Página web</v>
      </c>
      <c r="W19" s="113" t="str">
        <v>Declaración accesibilidad</v>
      </c>
      <c r="X19" s="113" t="str">
        <f>RESULTADOS!D36</f>
        <v>https://www.comunidad.madrid/es/tacp/accesibilidad</v>
      </c>
      <c r="Y19" s="113" t="str">
        <v>TACP - Accesibilidad</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Pasa</v>
      </c>
      <c r="BL19" s="111" t="str">
        <f ca="1">RESULTADOS!AP36</f>
        <v>Pasa</v>
      </c>
      <c r="BM19" s="111" t="str">
        <f ca="1">RESULTADOS!AQ36</f>
        <v>N/A</v>
      </c>
      <c r="BN19" s="111" t="str">
        <f ca="1">RESULTADOS!AR36</f>
        <v>N/A</v>
      </c>
      <c r="BO19" s="111" t="str">
        <f ca="1">RESULTADOS!AS36</f>
        <v>N/A</v>
      </c>
      <c r="BP19" s="111" t="str">
        <f ca="1">RESULTADOS!AT36</f>
        <v>N/A</v>
      </c>
      <c r="BQ19" s="111" t="str">
        <f ca="1">RESULTADOS!AU36</f>
        <v>N/A</v>
      </c>
      <c r="BR19" s="111" t="str">
        <f ca="1">RESULTADOS!AV36</f>
        <v>Pasa</v>
      </c>
      <c r="BS19" s="111" t="str">
        <f ca="1">RESULTADOS!AW36</f>
        <v>Pasa</v>
      </c>
      <c r="BT19" s="111" t="str">
        <f ca="1">RESULTADOS!AX36</f>
        <v>N/A</v>
      </c>
      <c r="BU19" s="111" t="str">
        <f ca="1">RESULTADOS!AY36</f>
        <v>Pasa</v>
      </c>
      <c r="BV19" s="111" t="str">
        <f ca="1">RESULTADOS!AZ36</f>
        <v>Pasa</v>
      </c>
      <c r="BW19" s="111" t="str">
        <f ca="1">RESULTADOS!BA36</f>
        <v>Pasa</v>
      </c>
      <c r="BX19" s="111" t="str">
        <f ca="1">RESULTADOS!BB36</f>
        <v>N/A</v>
      </c>
      <c r="BY19" s="111" t="str">
        <f ca="1">RESULTADOS!BC36</f>
        <v>Falla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Pasa</v>
      </c>
      <c r="CH19" s="111" t="str">
        <f ca="1">RESULTADOS!BL36</f>
        <v>Pasa</v>
      </c>
      <c r="CI19" s="111" t="str">
        <f ca="1">RESULTADOS!BM36</f>
        <v>Pasa</v>
      </c>
      <c r="CJ19" s="111" t="str">
        <f ca="1">RESULTADOS!BN36</f>
        <v>Pasa</v>
      </c>
      <c r="CK19" s="111" t="str">
        <f ca="1">RESULTADOS!BO36</f>
        <v>Falla</v>
      </c>
      <c r="CL19" s="111" t="str">
        <f ca="1">RESULTADOS!BP36</f>
        <v>N/A</v>
      </c>
      <c r="CM19" s="111" t="str">
        <f ca="1">RESULTADOS!BQ36</f>
        <v>N/A</v>
      </c>
      <c r="CN19" s="111" t="str">
        <f ca="1">RESULTADOS!BR36</f>
        <v>Pasa</v>
      </c>
      <c r="CO19" s="111" t="str">
        <f ca="1">RESULTADOS!BS36</f>
        <v>N/A</v>
      </c>
      <c r="CP19" s="111" t="str">
        <f ca="1">RESULTADOS!BT36</f>
        <v>Pasa</v>
      </c>
      <c r="CQ19" s="111" t="str">
        <f ca="1">RESULTADOS!BU36</f>
        <v>N/A</v>
      </c>
      <c r="CR19" s="111" t="str">
        <f ca="1">RESULTADOS!BV36</f>
        <v>N/A</v>
      </c>
      <c r="CS19" s="111" t="str">
        <f ca="1">RESULTADOS!BW36</f>
        <v>N/A</v>
      </c>
      <c r="CT19" s="111" t="str">
        <f ca="1">RESULTADOS!BX36</f>
        <v>Pasa</v>
      </c>
      <c r="CU19" s="111" t="str">
        <f ca="1">RESULTADOS!BY36</f>
        <v>Pasa</v>
      </c>
      <c r="CV19" s="111" t="str">
        <f ca="1">RESULTADOS!BZ36</f>
        <v>N/A</v>
      </c>
      <c r="CW19" s="111" t="str">
        <f ca="1">RESULTADOS!CA36</f>
        <v>N/A</v>
      </c>
      <c r="CX19" s="111" t="str">
        <f ca="1">RESULTADOS!CB36</f>
        <v>N/A</v>
      </c>
      <c r="CY19" s="111" t="str">
        <f ca="1">RESULTADOS!CC36</f>
        <v>N/A</v>
      </c>
      <c r="CZ19" s="111" t="str">
        <f ca="1">RESULTADOS!CD36</f>
        <v>Pasa</v>
      </c>
      <c r="DA19" s="111" t="str">
        <f ca="1">RESULTADOS!CE36</f>
        <v>Pasa</v>
      </c>
      <c r="DB19" s="111" t="str">
        <f ca="1">RESULTADOS!CF36</f>
        <v>N/A</v>
      </c>
      <c r="DC19" s="111" t="str">
        <f ca="1">RESULTADOS!CG36</f>
        <v>Pasa</v>
      </c>
      <c r="DD19" s="111" t="str">
        <f ca="1">RESULTADOS!CH36</f>
        <v>N/A</v>
      </c>
      <c r="DE19" s="111" t="str">
        <f ca="1">RESULTADOS!CI36</f>
        <v>N/A</v>
      </c>
      <c r="DF19" s="111" t="str">
        <f ca="1">RESULTADOS!CJ36</f>
        <v>N/A</v>
      </c>
      <c r="DG19" s="111" t="str">
        <f ca="1">RESULTADOS!CK36</f>
        <v>N/A</v>
      </c>
      <c r="DH19" s="111" t="str">
        <f ca="1">RESULTADOS!CL36</f>
        <v>N/A</v>
      </c>
      <c r="DI19" s="111" t="str">
        <f ca="1">RESULTADOS!CM36</f>
        <v>N/A</v>
      </c>
      <c r="DJ19" s="111" t="str">
        <f ca="1">RESULTADOS!CN36</f>
        <v>Pasa</v>
      </c>
      <c r="DK19" s="111" t="str">
        <f ca="1">RESULTADOS!CO36</f>
        <v>Pasa</v>
      </c>
      <c r="DL19" s="111" t="str">
        <f ca="1">RESULTADOS!CP36</f>
        <v>Pasa</v>
      </c>
      <c r="DM19" s="111" t="str">
        <f ca="1">RESULTADOS!CQ36</f>
        <v>Pasa</v>
      </c>
      <c r="DN19" s="111" t="str">
        <f ca="1">RESULTADOS!CR36</f>
        <v>Pasa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39</v>
      </c>
      <c r="D20" s="112" t="str">
        <f>'01.Definición de ámbito'!D50</f>
        <v>No</v>
      </c>
      <c r="K20" t="s">
        <v>99</v>
      </c>
      <c r="L20" s="113">
        <f ca="1">RESULTADOS!L10</f>
        <v>1084</v>
      </c>
      <c r="M20" s="171">
        <f ca="1">RESULTADOS!M10</f>
        <v>0.67371037911746423</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40</v>
      </c>
      <c r="D21" s="112" t="str">
        <f>'01.Definición de ámbito'!D51</f>
        <v>No</v>
      </c>
      <c r="K21" t="s">
        <v>268</v>
      </c>
      <c r="L21" s="113">
        <f ca="1">RESULTADOS!L11</f>
        <v>1609</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41</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42</v>
      </c>
      <c r="D23" s="112" t="str">
        <f>'01.Definición de ámbito'!D53</f>
        <v>No</v>
      </c>
      <c r="K23" t="s">
        <v>479</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43</v>
      </c>
      <c r="D24" s="112" t="str">
        <f>'01.Definición de ámbito'!D54</f>
        <v>No</v>
      </c>
      <c r="K24" t="s">
        <v>95</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44</v>
      </c>
      <c r="D25" s="112" t="str">
        <f>'01.Definición de ámbito'!D55</f>
        <v>No</v>
      </c>
      <c r="K25" t="s">
        <v>97</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45</v>
      </c>
      <c r="D26" s="112" t="str">
        <f>'01.Definición de ámbito'!D56</f>
        <v>No</v>
      </c>
      <c r="K26" t="s">
        <v>268</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480</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46</v>
      </c>
      <c r="D29" s="112" t="str">
        <f>'01.Definición de ámbito'!C58</f>
        <v>Autoevaluación con recursos externos</v>
      </c>
      <c r="K29" t="s">
        <v>481</v>
      </c>
      <c r="L29" s="115">
        <f ca="1">RESULTADOS!F14</f>
        <v>9.09</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48</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50</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33" zoomScale="85" zoomScaleNormal="85" workbookViewId="0">
      <selection activeCell="C33" sqref="C33"/>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483</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482</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45189</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30</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31</v>
      </c>
      <c r="C45" s="61"/>
      <c r="D45" s="36" t="s">
        <v>32</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33</v>
      </c>
      <c r="C47" s="117" t="s">
        <v>34</v>
      </c>
      <c r="D47" s="116" t="s">
        <v>35</v>
      </c>
      <c r="M47" s="18"/>
      <c r="N47" s="18"/>
      <c r="O47" s="18"/>
      <c r="Q47" s="18"/>
      <c r="R47" s="18"/>
      <c r="S47" s="18"/>
      <c r="U47" s="18"/>
      <c r="V47" s="18"/>
      <c r="W47" s="18"/>
      <c r="X47" s="18"/>
      <c r="Y47" s="18"/>
      <c r="Z47" s="18"/>
    </row>
    <row r="48" spans="2:26" ht="14.85" customHeight="1">
      <c r="C48" s="27" t="s">
        <v>36</v>
      </c>
      <c r="D48" s="19" t="s">
        <v>37</v>
      </c>
      <c r="G48" s="62"/>
    </row>
    <row r="49" spans="2:26" ht="14.85" customHeight="1">
      <c r="C49" s="27" t="s">
        <v>38</v>
      </c>
      <c r="D49" s="19" t="s">
        <v>37</v>
      </c>
      <c r="G49" s="62"/>
    </row>
    <row r="50" spans="2:26" ht="14.85" customHeight="1">
      <c r="C50" s="27" t="s">
        <v>39</v>
      </c>
      <c r="D50" s="19" t="s">
        <v>37</v>
      </c>
      <c r="G50" s="62"/>
    </row>
    <row r="51" spans="2:26" ht="14.85" customHeight="1">
      <c r="C51" s="27" t="s">
        <v>40</v>
      </c>
      <c r="D51" s="19" t="s">
        <v>37</v>
      </c>
      <c r="G51" s="62"/>
    </row>
    <row r="52" spans="2:26" ht="14.85" customHeight="1">
      <c r="C52" s="27" t="s">
        <v>41</v>
      </c>
      <c r="D52" s="19" t="s">
        <v>37</v>
      </c>
      <c r="G52" s="62"/>
    </row>
    <row r="53" spans="2:26" ht="14.85" customHeight="1">
      <c r="C53" s="27" t="s">
        <v>42</v>
      </c>
      <c r="D53" s="19" t="s">
        <v>37</v>
      </c>
      <c r="G53" s="62"/>
    </row>
    <row r="54" spans="2:26" ht="14.85" customHeight="1">
      <c r="C54" s="27" t="s">
        <v>43</v>
      </c>
      <c r="D54" s="19" t="s">
        <v>37</v>
      </c>
      <c r="G54" s="62"/>
    </row>
    <row r="55" spans="2:26" ht="14.85" customHeight="1">
      <c r="C55" s="27" t="s">
        <v>44</v>
      </c>
      <c r="D55" s="19" t="s">
        <v>37</v>
      </c>
      <c r="G55" s="62"/>
    </row>
    <row r="56" spans="2:26" ht="14.85" customHeight="1">
      <c r="C56" s="27" t="s">
        <v>45</v>
      </c>
      <c r="D56" s="19" t="s">
        <v>37</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46</v>
      </c>
      <c r="C58" s="61" t="s">
        <v>47</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48</v>
      </c>
      <c r="C60" s="61" t="s">
        <v>49</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50</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51</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52</v>
      </c>
      <c r="C6" s="216"/>
      <c r="D6" s="216"/>
      <c r="E6" s="216"/>
      <c r="F6" s="216"/>
      <c r="G6" s="216"/>
      <c r="H6" s="216"/>
      <c r="I6" s="216"/>
      <c r="J6" s="216"/>
      <c r="K6" s="216"/>
      <c r="L6" s="216"/>
    </row>
    <row r="7" spans="1:60" ht="33.15" customHeight="1" thickTop="1">
      <c r="B7" s="217" t="s">
        <v>53</v>
      </c>
      <c r="C7" s="217"/>
      <c r="D7" s="217"/>
      <c r="E7" s="217"/>
      <c r="F7" s="217"/>
      <c r="G7" s="217"/>
      <c r="H7" s="217"/>
      <c r="I7" s="217"/>
      <c r="J7" s="217"/>
      <c r="K7" s="217"/>
      <c r="L7" s="217"/>
    </row>
    <row r="8" spans="1:60" ht="21.6" customHeight="1"/>
    <row r="9" spans="1:60" ht="17.100000000000001" customHeight="1">
      <c r="B9" s="156" t="s">
        <v>54</v>
      </c>
      <c r="C9" s="157" t="s">
        <v>55</v>
      </c>
      <c r="E9" s="156" t="s">
        <v>56</v>
      </c>
      <c r="F9" s="157" t="s">
        <v>37</v>
      </c>
      <c r="H9" s="156" t="s">
        <v>57</v>
      </c>
      <c r="I9" s="157" t="s">
        <v>37</v>
      </c>
    </row>
    <row r="10" spans="1:60" ht="17.100000000000001" customHeight="1">
      <c r="B10" s="156" t="s">
        <v>58</v>
      </c>
      <c r="C10" s="157" t="s">
        <v>37</v>
      </c>
      <c r="E10" s="156" t="s">
        <v>59</v>
      </c>
      <c r="F10" s="157" t="s">
        <v>37</v>
      </c>
      <c r="H10" s="156" t="s">
        <v>60</v>
      </c>
      <c r="I10" s="157" t="s">
        <v>37</v>
      </c>
    </row>
    <row r="11" spans="1:60" ht="17.100000000000001" customHeight="1">
      <c r="B11" s="156" t="s">
        <v>61</v>
      </c>
      <c r="C11" s="157" t="s">
        <v>37</v>
      </c>
      <c r="E11" s="156" t="s">
        <v>62</v>
      </c>
      <c r="F11" s="157" t="s">
        <v>37</v>
      </c>
      <c r="H11" s="156" t="s">
        <v>63</v>
      </c>
      <c r="I11" s="157" t="s">
        <v>37</v>
      </c>
    </row>
    <row r="12" spans="1:60" ht="17.100000000000001" customHeight="1">
      <c r="B12" s="156" t="s">
        <v>64</v>
      </c>
      <c r="C12" s="157" t="s">
        <v>55</v>
      </c>
      <c r="E12" s="156" t="s">
        <v>65</v>
      </c>
      <c r="F12" s="157" t="s">
        <v>37</v>
      </c>
      <c r="H12" s="156" t="s">
        <v>66</v>
      </c>
      <c r="I12" s="157" t="s">
        <v>37</v>
      </c>
      <c r="K12" s="158" t="s">
        <v>67</v>
      </c>
      <c r="L12" s="158" t="s">
        <v>68</v>
      </c>
    </row>
    <row r="13" spans="1:60" ht="17.100000000000001" customHeight="1">
      <c r="B13" s="156" t="s">
        <v>69</v>
      </c>
      <c r="C13" s="157" t="s">
        <v>55</v>
      </c>
      <c r="E13" s="156" t="s">
        <v>70</v>
      </c>
      <c r="F13" s="157" t="s">
        <v>37</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8" t="s">
        <v>71</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abSelected="1" topLeftCell="A5" zoomScale="70" zoomScaleNormal="70" workbookViewId="0">
      <selection activeCell="G25" sqref="C8:G25"/>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72</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73</v>
      </c>
      <c r="C7" s="104" t="s">
        <v>74</v>
      </c>
      <c r="D7" s="104" t="s">
        <v>75</v>
      </c>
      <c r="E7" s="104" t="s">
        <v>76</v>
      </c>
      <c r="F7" s="104" t="s">
        <v>77</v>
      </c>
      <c r="G7" s="104" t="s">
        <v>78</v>
      </c>
      <c r="H7" s="104" t="s">
        <v>79</v>
      </c>
      <c r="I7" s="18"/>
      <c r="J7" s="18"/>
      <c r="K7" s="18"/>
      <c r="L7" s="18"/>
      <c r="M7" s="18"/>
      <c r="N7" s="18"/>
      <c r="O7" s="18"/>
      <c r="P7" s="18"/>
      <c r="Q7" s="18"/>
      <c r="R7" s="18"/>
      <c r="S7" s="18"/>
      <c r="T7" s="18"/>
      <c r="U7" s="18"/>
      <c r="V7" s="18"/>
      <c r="W7" s="18"/>
      <c r="X7" s="18"/>
      <c r="Y7" s="18"/>
    </row>
    <row r="8" spans="1:64" ht="18.149999999999999" customHeight="1">
      <c r="B8" s="102">
        <v>1</v>
      </c>
      <c r="C8" s="103" t="s">
        <v>487</v>
      </c>
      <c r="D8" s="53" t="s">
        <v>486</v>
      </c>
      <c r="E8" s="53" t="s">
        <v>427</v>
      </c>
      <c r="F8" s="123" t="s">
        <v>482</v>
      </c>
      <c r="G8" s="53" t="s">
        <v>488</v>
      </c>
      <c r="H8" s="143" t="s">
        <v>80</v>
      </c>
      <c r="I8" s="18"/>
      <c r="J8" s="18"/>
      <c r="K8" s="18"/>
      <c r="L8" s="18"/>
      <c r="M8" s="18"/>
      <c r="N8" s="18"/>
      <c r="O8" s="18"/>
      <c r="P8" s="18"/>
      <c r="Q8" s="18"/>
      <c r="R8" s="18"/>
      <c r="S8" s="18"/>
      <c r="T8" s="18"/>
      <c r="U8" s="18"/>
      <c r="V8" s="18"/>
      <c r="W8" s="18"/>
      <c r="X8" s="18"/>
      <c r="Y8" s="18"/>
    </row>
    <row r="9" spans="1:64" ht="18.149999999999999" customHeight="1">
      <c r="B9" s="51">
        <v>2</v>
      </c>
      <c r="C9" s="52" t="s">
        <v>490</v>
      </c>
      <c r="D9" s="53" t="s">
        <v>486</v>
      </c>
      <c r="E9" s="53" t="s">
        <v>446</v>
      </c>
      <c r="F9" s="123" t="s">
        <v>489</v>
      </c>
      <c r="G9" s="53" t="s">
        <v>496</v>
      </c>
      <c r="H9" s="101"/>
      <c r="I9" s="18"/>
      <c r="J9" s="18"/>
      <c r="K9" s="18"/>
      <c r="L9" s="18"/>
      <c r="M9" s="18"/>
      <c r="N9" s="18"/>
      <c r="O9" s="18"/>
      <c r="P9" s="18"/>
      <c r="Q9" s="18"/>
      <c r="R9" s="18"/>
      <c r="S9" s="18"/>
      <c r="T9" s="18"/>
      <c r="U9" s="18"/>
      <c r="V9" s="18"/>
      <c r="W9" s="18"/>
      <c r="X9" s="18"/>
      <c r="Y9" s="18"/>
    </row>
    <row r="10" spans="1:64" ht="18.149999999999999" customHeight="1">
      <c r="B10" s="51">
        <v>3</v>
      </c>
      <c r="C10" s="52" t="s">
        <v>492</v>
      </c>
      <c r="D10" s="53" t="s">
        <v>486</v>
      </c>
      <c r="E10" s="53" t="s">
        <v>446</v>
      </c>
      <c r="F10" s="123" t="s">
        <v>491</v>
      </c>
      <c r="G10" s="53" t="s">
        <v>495</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505</v>
      </c>
      <c r="D11" s="53" t="s">
        <v>486</v>
      </c>
      <c r="E11" s="53" t="s">
        <v>446</v>
      </c>
      <c r="F11" s="123" t="s">
        <v>504</v>
      </c>
      <c r="G11" s="53" t="s">
        <v>494</v>
      </c>
      <c r="H11" s="101" t="s">
        <v>32</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506</v>
      </c>
      <c r="D12" s="53" t="s">
        <v>486</v>
      </c>
      <c r="E12" s="53" t="s">
        <v>446</v>
      </c>
      <c r="F12" s="123" t="s">
        <v>503</v>
      </c>
      <c r="G12" s="53" t="s">
        <v>493</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507</v>
      </c>
      <c r="D13" s="53" t="s">
        <v>486</v>
      </c>
      <c r="E13" s="53" t="s">
        <v>446</v>
      </c>
      <c r="F13" s="123" t="s">
        <v>502</v>
      </c>
      <c r="G13" s="53" t="s">
        <v>497</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508</v>
      </c>
      <c r="D14" s="53" t="s">
        <v>486</v>
      </c>
      <c r="E14" s="53" t="s">
        <v>446</v>
      </c>
      <c r="F14" s="123" t="s">
        <v>500</v>
      </c>
      <c r="G14" s="53" t="s">
        <v>498</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509</v>
      </c>
      <c r="D15" s="53" t="s">
        <v>486</v>
      </c>
      <c r="E15" s="53" t="s">
        <v>446</v>
      </c>
      <c r="F15" s="123" t="s">
        <v>501</v>
      </c>
      <c r="G15" s="53" t="s">
        <v>499</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514</v>
      </c>
      <c r="D16" s="53" t="s">
        <v>486</v>
      </c>
      <c r="E16" s="53" t="s">
        <v>446</v>
      </c>
      <c r="F16" s="123" t="s">
        <v>512</v>
      </c>
      <c r="G16" s="53" t="s">
        <v>510</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515</v>
      </c>
      <c r="D17" s="53" t="s">
        <v>486</v>
      </c>
      <c r="E17" s="53" t="s">
        <v>446</v>
      </c>
      <c r="F17" s="123" t="s">
        <v>513</v>
      </c>
      <c r="G17" s="53" t="s">
        <v>511</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518</v>
      </c>
      <c r="D18" s="53" t="s">
        <v>486</v>
      </c>
      <c r="E18" s="53" t="s">
        <v>446</v>
      </c>
      <c r="F18" s="123" t="s">
        <v>516</v>
      </c>
      <c r="G18" s="53" t="s">
        <v>517</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521</v>
      </c>
      <c r="D19" s="53" t="s">
        <v>486</v>
      </c>
      <c r="E19" s="53" t="s">
        <v>446</v>
      </c>
      <c r="F19" s="123" t="s">
        <v>519</v>
      </c>
      <c r="G19" s="53" t="s">
        <v>520</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522</v>
      </c>
      <c r="D20" s="53" t="s">
        <v>486</v>
      </c>
      <c r="E20" s="53" t="s">
        <v>446</v>
      </c>
      <c r="F20" s="123" t="s">
        <v>523</v>
      </c>
      <c r="G20" s="53" t="s">
        <v>524</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527</v>
      </c>
      <c r="D21" s="53" t="s">
        <v>486</v>
      </c>
      <c r="E21" s="53" t="s">
        <v>446</v>
      </c>
      <c r="F21" s="123" t="s">
        <v>525</v>
      </c>
      <c r="G21" s="53" t="s">
        <v>526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532</v>
      </c>
      <c r="D22" s="53" t="s">
        <v>486</v>
      </c>
      <c r="E22" s="53" t="s">
        <v>446</v>
      </c>
      <c r="F22" s="123" t="s">
        <v>528</v>
      </c>
      <c r="G22" s="53" t="s">
        <v>529</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439</v>
      </c>
      <c r="D23" s="53" t="s">
        <v>486</v>
      </c>
      <c r="E23" s="53" t="s">
        <v>446</v>
      </c>
      <c r="F23" s="123" t="s">
        <v>530</v>
      </c>
      <c r="G23" s="53" t="s">
        <v>531</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534</v>
      </c>
      <c r="D24" s="53" t="s">
        <v>486</v>
      </c>
      <c r="E24" s="53" t="s">
        <v>444</v>
      </c>
      <c r="F24" s="123" t="s">
        <v>533</v>
      </c>
      <c r="G24" s="53" t="s">
        <v>535</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536</v>
      </c>
      <c r="D25" s="53" t="s">
        <v>537</v>
      </c>
      <c r="E25" s="53" t="s">
        <v>448</v>
      </c>
      <c r="F25" s="123" t="s">
        <v>516</v>
      </c>
      <c r="G25" s="53" t="s">
        <v>538</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81</v>
      </c>
      <c r="C45" s="56"/>
      <c r="D45" s="57">
        <f>COUNTA(F8:F42)</f>
        <v>18</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82</v>
      </c>
      <c r="C47" s="56"/>
      <c r="D47" s="57">
        <f>D45-D49</f>
        <v>18</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83</v>
      </c>
      <c r="C49" s="58"/>
      <c r="D49" s="57">
        <f>COUNTIF(E8:E42,"Aleatoria")</f>
        <v>0</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84</v>
      </c>
      <c r="C52" s="58"/>
      <c r="D52" s="44" t="str">
        <f>IF(AND(D49&gt;=0.1*D47,D49&gt;0, COUNTIF(E8:E42,"Página inicio"),   COUNTIF(E8:E42,"Declaración accesibilidad"),  COUNTA(C8:C42)=COUNTA(D8:D42),  COUNTA(C8:C42)=COUNTA(E8:E42),   COUNTA(C8:C42)=COUNTA(F8:F42), COUNTA(C8:C42)=COUNTA(G8:G42)    ),"SI","NO")</f>
        <v>NO</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4" zoomScale="70" zoomScaleNormal="70" workbookViewId="0">
      <selection activeCell="D35" sqref="D35"/>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86</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42"/>
      <c r="P11" s="18"/>
      <c r="Q11" s="18"/>
      <c r="R11" s="18"/>
      <c r="U11" s="18"/>
      <c r="V11" s="18"/>
      <c r="W11" s="18"/>
      <c r="X11" s="18"/>
      <c r="Y11" s="18"/>
    </row>
    <row r="12" spans="1:64" ht="12" customHeight="1">
      <c r="B12" s="108" t="s">
        <v>93</v>
      </c>
      <c r="C12" s="198">
        <f>COUNTIF($B$18:$B$3773,B12)</f>
        <v>3</v>
      </c>
      <c r="D12" s="26"/>
      <c r="E12" s="14"/>
      <c r="F12" s="199" t="s">
        <v>94</v>
      </c>
      <c r="G12" s="72">
        <f ca="1">J20+J58+J96</f>
        <v>0</v>
      </c>
      <c r="H12" s="42">
        <f ca="1">IF(($G$15+$K$15)=0,0,G12/($G$15+$K$15))</f>
        <v>0</v>
      </c>
      <c r="I12" s="26"/>
      <c r="J12" s="183" t="s">
        <v>95</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f>
        <v>0</v>
      </c>
      <c r="H13" s="42">
        <f ca="1">IF(($G$15+$K$15)=0,0,G13/($G$15+$K$15))</f>
        <v>0</v>
      </c>
      <c r="I13" s="26"/>
      <c r="J13" s="183" t="s">
        <v>97</v>
      </c>
      <c r="K13" s="72">
        <f ca="1">F20+F58+F96</f>
        <v>0</v>
      </c>
      <c r="L13" s="42">
        <f ca="1">IF(($G$15+$K$15)=0,0,K13/($G$15+$K$15))</f>
        <v>0</v>
      </c>
      <c r="M13" s="18"/>
      <c r="N13" s="18"/>
      <c r="O13" s="18"/>
      <c r="P13" s="18"/>
      <c r="Q13" s="18"/>
      <c r="R13" s="18"/>
      <c r="U13" s="18"/>
      <c r="V13" s="18"/>
      <c r="W13" s="18"/>
      <c r="X13" s="18"/>
      <c r="Y13" s="18"/>
    </row>
    <row r="14" spans="1:64" ht="12" customHeight="1" thickBot="1">
      <c r="B14" s="200" t="s">
        <v>98</v>
      </c>
      <c r="C14" s="201">
        <f>C12+C13</f>
        <v>3</v>
      </c>
      <c r="D14" s="26"/>
      <c r="E14" s="14"/>
      <c r="F14" s="199" t="s">
        <v>99</v>
      </c>
      <c r="G14" s="72">
        <f ca="1">H20+H58+H96</f>
        <v>51</v>
      </c>
      <c r="H14" s="42">
        <f ca="1">IF(($G$15+$K$15)=0,0,G14/($G$15+$K$15))</f>
        <v>1</v>
      </c>
      <c r="I14" s="26"/>
      <c r="J14" s="177" t="s">
        <v>100</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51</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102</v>
      </c>
      <c r="D18" s="25" t="s">
        <v>103</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https://www.comunidad.madrid/tacp/</v>
      </c>
      <c r="D19" s="99" t="s">
        <v>106</v>
      </c>
      <c r="E19" s="79" t="str">
        <f t="shared" ref="E19:E53" si="0">IF(D19&lt;&gt;"",IF(AND(B19&lt;&gt;"",C19&lt;&gt;""),"","ERR"),"")</f>
        <v/>
      </c>
      <c r="F19" s="86" t="s">
        <v>104</v>
      </c>
      <c r="G19" s="87" t="s">
        <v>105</v>
      </c>
      <c r="H19" s="88" t="s">
        <v>106</v>
      </c>
      <c r="I19" s="89" t="s">
        <v>96</v>
      </c>
      <c r="J19" s="90" t="s">
        <v>94</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Carta del presidente</v>
      </c>
      <c r="C20" s="174" t="str" cm="1">
        <f t="array" ref="C20">IFERROR(INDEX('03.Muestra'!$F$8:$F$42,SMALL(IF("Página Web"='03.Muestra'!$D$8:$D$42,ROW('03.Muestra'!$F$8:$F$42)-MIN(ROW('03.Muestra'!$D$8:$D$42))+1,""),ROW()-18)),"")</f>
        <v>https://www.comunidad.madrid/tacp/carta-del-presidente</v>
      </c>
      <c r="D20" s="99" t="s">
        <v>106</v>
      </c>
      <c r="E20" s="79" t="str">
        <f t="shared" si="0"/>
        <v/>
      </c>
      <c r="F20" s="91">
        <f ca="1">COUNTIF($D19:INDIRECT("$D" &amp;  SUM(ROW()-1,'03.Muestra'!$D$45)-1),F19)</f>
        <v>0</v>
      </c>
      <c r="G20" s="91">
        <f ca="1">COUNTIF($D19:INDIRECT("$D" &amp;  SUM(ROW()-1,'03.Muestra'!$D$45)-1),G19)</f>
        <v>0</v>
      </c>
      <c r="H20" s="91">
        <f ca="1">COUNTIF($D19:INDIRECT("$D" &amp;  SUM(ROW()-1,'03.Muestra'!$D$45)-1),H19)</f>
        <v>17</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Organización</v>
      </c>
      <c r="C21" s="174" t="str" cm="1">
        <f t="array" ref="C21">IFERROR(INDEX('03.Muestra'!$F$8:$F$42,SMALL(IF("Página Web"='03.Muestra'!$D$8:$D$42,ROW('03.Muestra'!$F$8:$F$42)-MIN(ROW('03.Muestra'!$D$8:$D$42))+1,""),ROW()-18)),"")</f>
        <v>https://www.comunidad.madrid/tacp/el-tribunal/organización</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Acuerdos</v>
      </c>
      <c r="C22" s="174" t="str" cm="1">
        <f t="array" ref="C22">IFERROR(INDEX('03.Muestra'!$F$8:$F$42,SMALL(IF("Página Web"='03.Muestra'!$D$8:$D$42,ROW('03.Muestra'!$F$8:$F$42)-MIN(ROW('03.Muestra'!$D$8:$D$42))+1,""),ROW()-18)),"")</f>
        <v>https://www.comunidad.madrid/tacp/el-tribunal/acuerdos-del-tacp</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Presentacion</v>
      </c>
      <c r="C23" s="174" t="str" cm="1">
        <f t="array" ref="C23">IFERROR(INDEX('03.Muestra'!$F$8:$F$42,SMALL(IF("Página Web"='03.Muestra'!$D$8:$D$42,ROW('03.Muestra'!$F$8:$F$42)-MIN(ROW('03.Muestra'!$D$8:$D$42))+1,""),ROW()-18)),"")</f>
        <v>https://www.comunidad.madrid/tacp/el-tribunal/presentacion-electronica-e-impresos-normalizados</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Guia</v>
      </c>
      <c r="C24" s="174" t="str" cm="1">
        <f t="array" ref="C24">IFERROR(INDEX('03.Muestra'!$F$8:$F$42,SMALL(IF("Página Web"='03.Muestra'!$D$8:$D$42,ROW('03.Muestra'!$F$8:$F$42)-MIN(ROW('03.Muestra'!$D$8:$D$42))+1,""),ROW()-18)),"")</f>
        <v>https://www.comunidad.madrid/tacp/el-tribunal/guia-informativa-sobre-la-regulacion-del-tribunal-de-contratacion-publica-y-los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Preguntas</v>
      </c>
      <c r="C25" s="174" t="str" cm="1">
        <f t="array" ref="C25">IFERROR(INDEX('03.Muestra'!$F$8:$F$42,SMALL(IF("Página Web"='03.Muestra'!$D$8:$D$42,ROW('03.Muestra'!$F$8:$F$42)-MIN(ROW('03.Muestra'!$D$8:$D$42))+1,""),ROW()-18)),"")</f>
        <v>https://www.comunidad.madrid/tacp/faq-page</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Histórico</v>
      </c>
      <c r="C26" s="174" t="str" cm="1">
        <f t="array" ref="C26">IFERROR(INDEX('03.Muestra'!$F$8:$F$42,SMALL(IF("Página Web"='03.Muestra'!$D$8:$D$42,ROW('03.Muestra'!$F$8:$F$42)-MIN(ROW('03.Muestra'!$D$8:$D$42))+1,""),ROW()-18)),"")</f>
        <v>https://www.comunidad.madrid/tacp/el-tribunal/historico-resoluciones-de-las-reclamaciones-de-acceso-informacion-publica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Estudios</v>
      </c>
      <c r="C27" s="174" t="str" cm="1">
        <f t="array" ref="C27">IFERROR(INDEX('03.Muestra'!$F$8:$F$42,SMALL(IF("Página Web"='03.Muestra'!$D$8:$D$42,ROW('03.Muestra'!$F$8:$F$42)-MIN(ROW('03.Muestra'!$D$8:$D$42))+1,""),ROW()-18)),"")</f>
        <v>https://www.comunidad.madrid/tacp/estudios</v>
      </c>
      <c r="D27" s="99" t="s">
        <v>106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Memorias</v>
      </c>
      <c r="C28" s="174" t="str" cm="1">
        <f t="array" ref="C28">IFERROR(INDEX('03.Muestra'!$F$8:$F$42,SMALL(IF("Página Web"='03.Muestra'!$D$8:$D$42,ROW('03.Muestra'!$F$8:$F$42)-MIN(ROW('03.Muestra'!$D$8:$D$42))+1,""),ROW()-18)),"")</f>
        <v>https://www.comunidad.madrid/tacp/memorias</v>
      </c>
      <c r="D28" s="99" t="s">
        <v>106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Busqueda Resol</v>
      </c>
      <c r="C29" s="174" t="str" cm="1">
        <f t="array" ref="C29">IFERROR(INDEX('03.Muestra'!$F$8:$F$42,SMALL(IF("Página Web"='03.Muestra'!$D$8:$D$42,ROW('03.Muestra'!$F$8:$F$42)-MIN(ROW('03.Muestra'!$D$8:$D$42))+1,""),ROW()-18)),"")</f>
        <v>https://www.comunidad.madrid/tacp/busquedaresoluciones</v>
      </c>
      <c r="D29" s="99" t="s">
        <v>106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Novedades</v>
      </c>
      <c r="C30" s="174" t="str" cm="1">
        <f t="array" ref="C30">IFERROR(INDEX('03.Muestra'!$F$8:$F$42,SMALL(IF("Página Web"='03.Muestra'!$D$8:$D$42,ROW('03.Muestra'!$F$8:$F$42)-MIN(ROW('03.Muestra'!$D$8:$D$42))+1,""),ROW()-18)),"")</f>
        <v>https://www.comunidad.madrid/tacp/noticias</v>
      </c>
      <c r="D30" s="99" t="s">
        <v>106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Recursos especiales</v>
      </c>
      <c r="C31" s="174" t="str" cm="1">
        <f t="array" ref="C31">IFERROR(INDEX('03.Muestra'!$F$8:$F$42,SMALL(IF("Página Web"='03.Muestra'!$D$8:$D$42,ROW('03.Muestra'!$F$8:$F$42)-MIN(ROW('03.Muestra'!$D$8:$D$42))+1,""),ROW()-18)),"")</f>
        <v>https://www.comunidad.madrid/tacp/novedades/publicacion-recursos-especiales-en-perfil-contratante</v>
      </c>
      <c r="D31" s="99" t="s">
        <v>106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Normativa</v>
      </c>
      <c r="C32" s="174" t="str" cm="1">
        <f t="array" ref="C32">IFERROR(INDEX('03.Muestra'!$F$8:$F$42,SMALL(IF("Página Web"='03.Muestra'!$D$8:$D$42,ROW('03.Muestra'!$F$8:$F$42)-MIN(ROW('03.Muestra'!$D$8:$D$42))+1,""),ROW()-18)),"")</f>
        <v>https://www.comunidad.madrid/es/tacp/normativa</v>
      </c>
      <c r="D32" s="99" t="s">
        <v>106</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Organos Competentes</v>
      </c>
      <c r="C33" s="174" t="str" cm="1">
        <f t="array" ref="C33">IFERROR(INDEX('03.Muestra'!$F$8:$F$42,SMALL(IF("Página Web"='03.Muestra'!$D$8:$D$42,ROW('03.Muestra'!$F$8:$F$42)-MIN(ROW('03.Muestra'!$D$8:$D$42))+1,""),ROW()-18)),"")</f>
        <v>https://www.comunidad.madrid/es/tacp/otros-organos-competentes</v>
      </c>
      <c r="D33" s="99" t="s">
        <v>106</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Contacto</v>
      </c>
      <c r="C34" s="174" t="str" cm="1">
        <f t="array" ref="C34">IFERROR(INDEX('03.Muestra'!$F$8:$F$42,SMALL(IF("Página Web"='03.Muestra'!$D$8:$D$42,ROW('03.Muestra'!$F$8:$F$42)-MIN(ROW('03.Muestra'!$D$8:$D$42))+1,""),ROW()-18)),"")</f>
        <v>https://www.comunidad.madrid/es/tacp/contact</v>
      </c>
      <c r="D34" s="99" t="s">
        <v>106</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Accesibilidad</v>
      </c>
      <c r="C35" s="174" t="str" cm="1">
        <f t="array" ref="C35">IFERROR(INDEX('03.Muestra'!$F$8:$F$42,SMALL(IF("Página Web"='03.Muestra'!$D$8:$D$42,ROW('03.Muestra'!$F$8:$F$42)-MIN(ROW('03.Muestra'!$D$8:$D$42))+1,""),ROW()-18)),"")</f>
        <v>https://www.comunidad.madrid/es/tacp/accesibilidad</v>
      </c>
      <c r="D35" s="99" t="s">
        <v>106</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110</v>
      </c>
      <c r="D56" s="25" t="s">
        <v>103</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Carta del presidente</v>
      </c>
      <c r="C58" s="17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Organización</v>
      </c>
      <c r="C59" s="17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Acuerdos</v>
      </c>
      <c r="C60" s="17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Presentacion</v>
      </c>
      <c r="C61" s="17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Guia</v>
      </c>
      <c r="C62" s="17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Preguntas</v>
      </c>
      <c r="C63" s="17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Histórico</v>
      </c>
      <c r="C64" s="17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Estudios</v>
      </c>
      <c r="C65" s="17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Memorias</v>
      </c>
      <c r="C66" s="17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Busqueda Resol</v>
      </c>
      <c r="C67" s="17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Novedades</v>
      </c>
      <c r="C68" s="17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Recursos especiales</v>
      </c>
      <c r="C69" s="17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Normativa</v>
      </c>
      <c r="C70" s="17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Organos Competentes</v>
      </c>
      <c r="C71" s="17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Contacto</v>
      </c>
      <c r="C72" s="17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Accesibilidad</v>
      </c>
      <c r="C73" s="17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101</v>
      </c>
      <c r="B94" s="23" t="s">
        <v>93</v>
      </c>
      <c r="C94" s="24" t="s">
        <v>111</v>
      </c>
      <c r="D94" s="25" t="s">
        <v>103</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Carta del presidente</v>
      </c>
      <c r="C96" s="17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Organización</v>
      </c>
      <c r="C97" s="17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Acuerdos</v>
      </c>
      <c r="C98" s="17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Presentacion</v>
      </c>
      <c r="C99" s="17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Guia</v>
      </c>
      <c r="C100" s="17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Preguntas</v>
      </c>
      <c r="C101" s="17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Histórico</v>
      </c>
      <c r="C102" s="17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Estudios</v>
      </c>
      <c r="C103" s="17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Memorias</v>
      </c>
      <c r="C104" s="17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Busqueda Resol</v>
      </c>
      <c r="C105" s="17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Novedades</v>
      </c>
      <c r="C106" s="17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Recursos especiales</v>
      </c>
      <c r="C107" s="17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Normativa</v>
      </c>
      <c r="C108" s="17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Organos Competentes</v>
      </c>
      <c r="C109" s="17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Contacto</v>
      </c>
      <c r="C110" s="17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Accesibilidad</v>
      </c>
      <c r="C111" s="17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election activeCell="D35" sqref="D35"/>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113</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COUNTIF($B$18:$B$4418,B12)</f>
        <v>19</v>
      </c>
      <c r="D12" s="26"/>
      <c r="E12" s="14"/>
      <c r="F12" s="199" t="s">
        <v>94</v>
      </c>
      <c r="G12" s="72">
        <f ca="1">J20+J58+J96+J134+J172+J210+J248+J286+J324+J362+J400+J438+J476+J514+J552+J590+J628+J666+J704</f>
        <v>0</v>
      </c>
      <c r="H12" s="42">
        <f ca="1">IF(($G$15+$K$15)=0,0,G12/($G$15+$K$15))</f>
        <v>0</v>
      </c>
      <c r="I12" s="26"/>
      <c r="J12" s="183" t="s">
        <v>95</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f>
        <v>0</v>
      </c>
      <c r="H13" s="42">
        <f ca="1">IF(($G$15+$K$15)=0,0,G13/($G$15+$K$15))</f>
        <v>0</v>
      </c>
      <c r="I13" s="26"/>
      <c r="J13" s="183" t="s">
        <v>97</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98</v>
      </c>
      <c r="C14" s="201">
        <f>C12+C13</f>
        <v>19</v>
      </c>
      <c r="D14" s="26"/>
      <c r="E14" s="14"/>
      <c r="F14" s="199" t="s">
        <v>99</v>
      </c>
      <c r="G14" s="72">
        <f ca="1">H20+H58+H96+H134+H172+H210+H248+H286+H324+H362+H400+H438+H476+H514+H552+H590+H628+H666+H704</f>
        <v>323</v>
      </c>
      <c r="H14" s="42">
        <f ca="1">IF(($G$15+$K$15)=0,0,G14/($G$15+$K$15))</f>
        <v>1</v>
      </c>
      <c r="I14" s="26"/>
      <c r="J14" s="177" t="s">
        <v>100</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323</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114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106</v>
      </c>
      <c r="E20" s="79" t="str">
        <f t="shared" si="0"/>
        <v/>
      </c>
      <c r="F20" s="91">
        <f ca="1">COUNTIF($D19:INDIRECT("$D" &amp;  SUM(ROW()-1,'03.Muestra'!$D$45)-1),F19)</f>
        <v>0</v>
      </c>
      <c r="G20" s="91">
        <f ca="1">COUNTIF($D19:INDIRECT("$D" &amp;  SUM(ROW()-1,'03.Muestra'!$D$45)-1),G19)</f>
        <v>0</v>
      </c>
      <c r="H20" s="91">
        <f ca="1">COUNTIF($D19:INDIRECT("$D" &amp;  SUM(ROW()-1,'03.Muestra'!$D$45)-1),H19)</f>
        <v>17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106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106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106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106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106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106</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106</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106</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106</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115</v>
      </c>
      <c r="D56" s="25" t="s">
        <v>103</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81"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101</v>
      </c>
      <c r="B94" s="23" t="s">
        <v>93</v>
      </c>
      <c r="C94" s="24" t="s">
        <v>116</v>
      </c>
      <c r="D94" s="25" t="s">
        <v>103</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81" t="s">
        <v>100</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101</v>
      </c>
      <c r="B132" s="23" t="s">
        <v>93</v>
      </c>
      <c r="C132" s="24" t="s">
        <v>117</v>
      </c>
      <c r="D132" s="25" t="s">
        <v>103</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106</v>
      </c>
      <c r="E133" s="79" t="str">
        <f t="shared" ref="E133:E167" si="6">IF(D133&lt;&gt;"",IF(AND(B133&lt;&gt;"",C133&lt;&gt;""),"","ERR"),"")</f>
        <v/>
      </c>
      <c r="F133" s="86" t="s">
        <v>104</v>
      </c>
      <c r="G133" s="87" t="s">
        <v>105</v>
      </c>
      <c r="H133" s="88" t="s">
        <v>106</v>
      </c>
      <c r="I133" s="89" t="s">
        <v>96</v>
      </c>
      <c r="J133" s="90" t="s">
        <v>94</v>
      </c>
      <c r="K133" s="181" t="s">
        <v>100</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17</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106</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106</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106</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106</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106</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106</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106</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106</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106</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106</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106</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106</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106</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106</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106</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101</v>
      </c>
      <c r="B170" s="23" t="s">
        <v>93</v>
      </c>
      <c r="C170" s="24" t="s">
        <v>118</v>
      </c>
      <c r="D170" s="25" t="s">
        <v>103</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106</v>
      </c>
      <c r="E171" s="79" t="str">
        <f t="shared" ref="E171:E205" si="8">IF(D171&lt;&gt;"",IF(AND(B171&lt;&gt;"",C171&lt;&gt;""),"","ERR"),"")</f>
        <v/>
      </c>
      <c r="F171" s="86" t="s">
        <v>104</v>
      </c>
      <c r="G171" s="87" t="s">
        <v>105</v>
      </c>
      <c r="H171" s="88" t="s">
        <v>106</v>
      </c>
      <c r="I171" s="89" t="s">
        <v>96</v>
      </c>
      <c r="J171" s="90" t="s">
        <v>94</v>
      </c>
      <c r="K171" s="181" t="s">
        <v>100</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17</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106</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106</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106</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106</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106</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106</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106</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106</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106</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106</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106</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106</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106</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106</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106</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101</v>
      </c>
      <c r="B208" s="23" t="s">
        <v>93</v>
      </c>
      <c r="C208" s="172" t="s">
        <v>119</v>
      </c>
      <c r="D208" s="25" t="s">
        <v>103</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106</v>
      </c>
      <c r="E209" s="79" t="str">
        <f t="shared" ref="E209:E243" si="10">IF(D209&lt;&gt;"",IF(AND(B209&lt;&gt;"",C209&lt;&gt;""),"","ERR"),"")</f>
        <v/>
      </c>
      <c r="F209" s="86" t="s">
        <v>104</v>
      </c>
      <c r="G209" s="87" t="s">
        <v>105</v>
      </c>
      <c r="H209" s="88" t="s">
        <v>106</v>
      </c>
      <c r="I209" s="89" t="s">
        <v>96</v>
      </c>
      <c r="J209" s="90" t="s">
        <v>94</v>
      </c>
      <c r="K209" s="181" t="s">
        <v>100</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Carta del presidente</v>
      </c>
      <c r="C210" s="85" t="str" cm="1">
        <f t="array" ref="C210">IFERROR(INDEX('03.Muestra'!$F$8:$F$42,SMALL(IF("Página Web"='03.Muestra'!$D$8:$D$42,ROW('03.Muestra'!$F$8:$F$42)-MIN(ROW('03.Muestra'!$D$8:$D$42))+1,""),ROW()-208)),"")</f>
        <v>https://www.comunidad.madrid/tacp/carta-del-presidente</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17</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v>
      </c>
      <c r="C211" s="85" t="str" cm="1">
        <f t="array" ref="C211">IFERROR(INDEX('03.Muestra'!$F$8:$F$42,SMALL(IF("Página Web"='03.Muestra'!$D$8:$D$42,ROW('03.Muestra'!$F$8:$F$42)-MIN(ROW('03.Muestra'!$D$8:$D$42))+1,""),ROW()-208)),"")</f>
        <v>https://www.comunidad.madrid/tacp/el-tribunal/organización</v>
      </c>
      <c r="D211" s="99" t="s">
        <v>106</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Acuerdos</v>
      </c>
      <c r="C212" s="85" t="str" cm="1">
        <f t="array" ref="C212">IFERROR(INDEX('03.Muestra'!$F$8:$F$42,SMALL(IF("Página Web"='03.Muestra'!$D$8:$D$42,ROW('03.Muestra'!$F$8:$F$42)-MIN(ROW('03.Muestra'!$D$8:$D$42))+1,""),ROW()-208)),"")</f>
        <v>https://www.comunidad.madrid/tacp/el-tribunal/acuerdos-del-tacp</v>
      </c>
      <c r="D212" s="99" t="s">
        <v>106</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Presentacion</v>
      </c>
      <c r="C213" s="85" t="str" cm="1">
        <f t="array" ref="C213">IFERROR(INDEX('03.Muestra'!$F$8:$F$42,SMALL(IF("Página Web"='03.Muestra'!$D$8:$D$42,ROW('03.Muestra'!$F$8:$F$42)-MIN(ROW('03.Muestra'!$D$8:$D$42))+1,""),ROW()-208)),"")</f>
        <v>https://www.comunidad.madrid/tacp/el-tribunal/presentacion-electronica-e-impresos-normalizados</v>
      </c>
      <c r="D213" s="99" t="s">
        <v>106</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Guia</v>
      </c>
      <c r="C214" s="85" t="str" cm="1">
        <f t="array" ref="C214">IFERROR(INDEX('03.Muestra'!$F$8:$F$42,SMALL(IF("Página Web"='03.Muestra'!$D$8:$D$42,ROW('03.Muestra'!$F$8:$F$42)-MIN(ROW('03.Muestra'!$D$8:$D$42))+1,""),ROW()-208)),"")</f>
        <v>https://www.comunidad.madrid/tacp/el-tribunal/guia-informativa-sobre-la-regulacion-del-tribunal-de-contratacion-publica-y-los</v>
      </c>
      <c r="D214" s="99" t="s">
        <v>106</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Preguntas</v>
      </c>
      <c r="C215" s="85" t="str" cm="1">
        <f t="array" ref="C215">IFERROR(INDEX('03.Muestra'!$F$8:$F$42,SMALL(IF("Página Web"='03.Muestra'!$D$8:$D$42,ROW('03.Muestra'!$F$8:$F$42)-MIN(ROW('03.Muestra'!$D$8:$D$42))+1,""),ROW()-208)),"")</f>
        <v>https://www.comunidad.madrid/tacp/faq-page</v>
      </c>
      <c r="D215" s="99" t="s">
        <v>106</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Histórico</v>
      </c>
      <c r="C216" s="85" t="str" cm="1">
        <f t="array" ref="C216">IFERROR(INDEX('03.Muestra'!$F$8:$F$42,SMALL(IF("Página Web"='03.Muestra'!$D$8:$D$42,ROW('03.Muestra'!$F$8:$F$42)-MIN(ROW('03.Muestra'!$D$8:$D$42))+1,""),ROW()-208)),"")</f>
        <v>https://www.comunidad.madrid/tacp/el-tribunal/historico-resoluciones-de-las-reclamaciones-de-acceso-informacion-publica</v>
      </c>
      <c r="D216" s="99" t="s">
        <v>106</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Estudios</v>
      </c>
      <c r="C217" s="85" t="str" cm="1">
        <f t="array" ref="C217">IFERROR(INDEX('03.Muestra'!$F$8:$F$42,SMALL(IF("Página Web"='03.Muestra'!$D$8:$D$42,ROW('03.Muestra'!$F$8:$F$42)-MIN(ROW('03.Muestra'!$D$8:$D$42))+1,""),ROW()-208)),"")</f>
        <v>https://www.comunidad.madrid/tacp/estudios</v>
      </c>
      <c r="D217" s="99" t="s">
        <v>106</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Memorias</v>
      </c>
      <c r="C218" s="85" t="str" cm="1">
        <f t="array" ref="C218">IFERROR(INDEX('03.Muestra'!$F$8:$F$42,SMALL(IF("Página Web"='03.Muestra'!$D$8:$D$42,ROW('03.Muestra'!$F$8:$F$42)-MIN(ROW('03.Muestra'!$D$8:$D$42))+1,""),ROW()-208)),"")</f>
        <v>https://www.comunidad.madrid/tacp/memorias</v>
      </c>
      <c r="D218" s="99" t="s">
        <v>106</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Busqueda Resol</v>
      </c>
      <c r="C219" s="85" t="str" cm="1">
        <f t="array" ref="C219">IFERROR(INDEX('03.Muestra'!$F$8:$F$42,SMALL(IF("Página Web"='03.Muestra'!$D$8:$D$42,ROW('03.Muestra'!$F$8:$F$42)-MIN(ROW('03.Muestra'!$D$8:$D$42))+1,""),ROW()-208)),"")</f>
        <v>https://www.comunidad.madrid/tacp/busquedaresoluciones</v>
      </c>
      <c r="D219" s="99" t="s">
        <v>106</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Novedades</v>
      </c>
      <c r="C220" s="85" t="str" cm="1">
        <f t="array" ref="C220">IFERROR(INDEX('03.Muestra'!$F$8:$F$42,SMALL(IF("Página Web"='03.Muestra'!$D$8:$D$42,ROW('03.Muestra'!$F$8:$F$42)-MIN(ROW('03.Muestra'!$D$8:$D$42))+1,""),ROW()-208)),"")</f>
        <v>https://www.comunidad.madrid/tacp/noticias</v>
      </c>
      <c r="D220" s="99" t="s">
        <v>106</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Recursos especiales</v>
      </c>
      <c r="C221" s="85" t="str" cm="1">
        <f t="array" ref="C221">IFERROR(INDEX('03.Muestra'!$F$8:$F$42,SMALL(IF("Página Web"='03.Muestra'!$D$8:$D$42,ROW('03.Muestra'!$F$8:$F$42)-MIN(ROW('03.Muestra'!$D$8:$D$42))+1,""),ROW()-208)),"")</f>
        <v>https://www.comunidad.madrid/tacp/novedades/publicacion-recursos-especiales-en-perfil-contratante</v>
      </c>
      <c r="D221" s="99" t="s">
        <v>106</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Normativa</v>
      </c>
      <c r="C222" s="85" t="str" cm="1">
        <f t="array" ref="C222">IFERROR(INDEX('03.Muestra'!$F$8:$F$42,SMALL(IF("Página Web"='03.Muestra'!$D$8:$D$42,ROW('03.Muestra'!$F$8:$F$42)-MIN(ROW('03.Muestra'!$D$8:$D$42))+1,""),ROW()-208)),"")</f>
        <v>https://www.comunidad.madrid/es/tacp/normativa</v>
      </c>
      <c r="D222" s="99" t="s">
        <v>106</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Organos Competentes</v>
      </c>
      <c r="C223" s="85" t="str" cm="1">
        <f t="array" ref="C223">IFERROR(INDEX('03.Muestra'!$F$8:$F$42,SMALL(IF("Página Web"='03.Muestra'!$D$8:$D$42,ROW('03.Muestra'!$F$8:$F$42)-MIN(ROW('03.Muestra'!$D$8:$D$42))+1,""),ROW()-208)),"")</f>
        <v>https://www.comunidad.madrid/es/tacp/otros-organos-competentes</v>
      </c>
      <c r="D223" s="99" t="s">
        <v>106</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https://www.comunidad.madrid/es/tacp/contact</v>
      </c>
      <c r="D224" s="99" t="s">
        <v>106</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Accesibilidad</v>
      </c>
      <c r="C225" s="85" t="str" cm="1">
        <f t="array" ref="C225">IFERROR(INDEX('03.Muestra'!$F$8:$F$42,SMALL(IF("Página Web"='03.Muestra'!$D$8:$D$42,ROW('03.Muestra'!$F$8:$F$42)-MIN(ROW('03.Muestra'!$D$8:$D$42))+1,""),ROW()-208)),"")</f>
        <v>https://www.comunidad.madrid/es/tacp/accesibilidad</v>
      </c>
      <c r="D225" s="99" t="s">
        <v>106</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ref="D226:D243" si="11">IF(AND(B226&lt;&gt;"",C226&lt;&gt;""),"N/T","")</f>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101</v>
      </c>
      <c r="B246" s="23" t="s">
        <v>93</v>
      </c>
      <c r="C246" s="172" t="s">
        <v>120</v>
      </c>
      <c r="D246" s="25" t="s">
        <v>103</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106</v>
      </c>
      <c r="E247" s="79" t="str">
        <f t="shared" ref="E247:E281" si="12">IF(D247&lt;&gt;"",IF(AND(B247&lt;&gt;"",C247&lt;&gt;""),"","ERR"),"")</f>
        <v/>
      </c>
      <c r="F247" s="86" t="s">
        <v>104</v>
      </c>
      <c r="G247" s="87" t="s">
        <v>105</v>
      </c>
      <c r="H247" s="88" t="s">
        <v>106</v>
      </c>
      <c r="I247" s="89" t="s">
        <v>96</v>
      </c>
      <c r="J247" s="90" t="s">
        <v>94</v>
      </c>
      <c r="K247" s="181" t="s">
        <v>100</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Carta del presidente</v>
      </c>
      <c r="C248" s="85" t="str" cm="1">
        <f t="array" ref="C248">IFERROR(INDEX('03.Muestra'!$F$8:$F$42,SMALL(IF("Página Web"='03.Muestra'!$D$8:$D$42,ROW('03.Muestra'!$F$8:$F$42)-MIN(ROW('03.Muestra'!$D$8:$D$42))+1,""),ROW()-246)),"")</f>
        <v>https://www.comunidad.madrid/tacp/carta-del-presidente</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17</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Organización</v>
      </c>
      <c r="C249" s="85" t="str" cm="1">
        <f t="array" ref="C249">IFERROR(INDEX('03.Muestra'!$F$8:$F$42,SMALL(IF("Página Web"='03.Muestra'!$D$8:$D$42,ROW('03.Muestra'!$F$8:$F$42)-MIN(ROW('03.Muestra'!$D$8:$D$42))+1,""),ROW()-246)),"")</f>
        <v>https://www.comunidad.madrid/tacp/el-tribunal/organización</v>
      </c>
      <c r="D249" s="99" t="s">
        <v>106</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Acuerdos</v>
      </c>
      <c r="C250" s="85" t="str" cm="1">
        <f t="array" ref="C250">IFERROR(INDEX('03.Muestra'!$F$8:$F$42,SMALL(IF("Página Web"='03.Muestra'!$D$8:$D$42,ROW('03.Muestra'!$F$8:$F$42)-MIN(ROW('03.Muestra'!$D$8:$D$42))+1,""),ROW()-246)),"")</f>
        <v>https://www.comunidad.madrid/tacp/el-tribunal/acuerdos-del-tacp</v>
      </c>
      <c r="D250" s="99" t="s">
        <v>106</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Presentacion</v>
      </c>
      <c r="C251" s="85" t="str" cm="1">
        <f t="array" ref="C251">IFERROR(INDEX('03.Muestra'!$F$8:$F$42,SMALL(IF("Página Web"='03.Muestra'!$D$8:$D$42,ROW('03.Muestra'!$F$8:$F$42)-MIN(ROW('03.Muestra'!$D$8:$D$42))+1,""),ROW()-246)),"")</f>
        <v>https://www.comunidad.madrid/tacp/el-tribunal/presentacion-electronica-e-impresos-normalizados</v>
      </c>
      <c r="D251" s="99" t="s">
        <v>106</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Guia</v>
      </c>
      <c r="C252" s="85" t="str" cm="1">
        <f t="array" ref="C252">IFERROR(INDEX('03.Muestra'!$F$8:$F$42,SMALL(IF("Página Web"='03.Muestra'!$D$8:$D$42,ROW('03.Muestra'!$F$8:$F$42)-MIN(ROW('03.Muestra'!$D$8:$D$42))+1,""),ROW()-246)),"")</f>
        <v>https://www.comunidad.madrid/tacp/el-tribunal/guia-informativa-sobre-la-regulacion-del-tribunal-de-contratacion-publica-y-los</v>
      </c>
      <c r="D252" s="99" t="s">
        <v>106</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Preguntas</v>
      </c>
      <c r="C253" s="85" t="str" cm="1">
        <f t="array" ref="C253">IFERROR(INDEX('03.Muestra'!$F$8:$F$42,SMALL(IF("Página Web"='03.Muestra'!$D$8:$D$42,ROW('03.Muestra'!$F$8:$F$42)-MIN(ROW('03.Muestra'!$D$8:$D$42))+1,""),ROW()-246)),"")</f>
        <v>https://www.comunidad.madrid/tacp/faq-page</v>
      </c>
      <c r="D253" s="99" t="s">
        <v>106</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Histórico</v>
      </c>
      <c r="C254" s="85" t="str" cm="1">
        <f t="array" ref="C254">IFERROR(INDEX('03.Muestra'!$F$8:$F$42,SMALL(IF("Página Web"='03.Muestra'!$D$8:$D$42,ROW('03.Muestra'!$F$8:$F$42)-MIN(ROW('03.Muestra'!$D$8:$D$42))+1,""),ROW()-246)),"")</f>
        <v>https://www.comunidad.madrid/tacp/el-tribunal/historico-resoluciones-de-las-reclamaciones-de-acceso-informacion-publica</v>
      </c>
      <c r="D254" s="99" t="s">
        <v>106</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Estudios</v>
      </c>
      <c r="C255" s="85" t="str" cm="1">
        <f t="array" ref="C255">IFERROR(INDEX('03.Muestra'!$F$8:$F$42,SMALL(IF("Página Web"='03.Muestra'!$D$8:$D$42,ROW('03.Muestra'!$F$8:$F$42)-MIN(ROW('03.Muestra'!$D$8:$D$42))+1,""),ROW()-246)),"")</f>
        <v>https://www.comunidad.madrid/tacp/estudios</v>
      </c>
      <c r="D255" s="99" t="s">
        <v>106</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Memorias</v>
      </c>
      <c r="C256" s="85" t="str" cm="1">
        <f t="array" ref="C256">IFERROR(INDEX('03.Muestra'!$F$8:$F$42,SMALL(IF("Página Web"='03.Muestra'!$D$8:$D$42,ROW('03.Muestra'!$F$8:$F$42)-MIN(ROW('03.Muestra'!$D$8:$D$42))+1,""),ROW()-246)),"")</f>
        <v>https://www.comunidad.madrid/tacp/memorias</v>
      </c>
      <c r="D256" s="99" t="s">
        <v>106</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Busqueda Resol</v>
      </c>
      <c r="C257" s="85" t="str" cm="1">
        <f t="array" ref="C257">IFERROR(INDEX('03.Muestra'!$F$8:$F$42,SMALL(IF("Página Web"='03.Muestra'!$D$8:$D$42,ROW('03.Muestra'!$F$8:$F$42)-MIN(ROW('03.Muestra'!$D$8:$D$42))+1,""),ROW()-246)),"")</f>
        <v>https://www.comunidad.madrid/tacp/busquedaresoluciones</v>
      </c>
      <c r="D257" s="99" t="s">
        <v>106</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Novedades</v>
      </c>
      <c r="C258" s="85" t="str" cm="1">
        <f t="array" ref="C258">IFERROR(INDEX('03.Muestra'!$F$8:$F$42,SMALL(IF("Página Web"='03.Muestra'!$D$8:$D$42,ROW('03.Muestra'!$F$8:$F$42)-MIN(ROW('03.Muestra'!$D$8:$D$42))+1,""),ROW()-246)),"")</f>
        <v>https://www.comunidad.madrid/tacp/noticias</v>
      </c>
      <c r="D258" s="99" t="s">
        <v>106</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Recursos especiales</v>
      </c>
      <c r="C259" s="85" t="str" cm="1">
        <f t="array" ref="C259">IFERROR(INDEX('03.Muestra'!$F$8:$F$42,SMALL(IF("Página Web"='03.Muestra'!$D$8:$D$42,ROW('03.Muestra'!$F$8:$F$42)-MIN(ROW('03.Muestra'!$D$8:$D$42))+1,""),ROW()-246)),"")</f>
        <v>https://www.comunidad.madrid/tacp/novedades/publicacion-recursos-especiales-en-perfil-contratante</v>
      </c>
      <c r="D259" s="99" t="s">
        <v>106</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Normativa</v>
      </c>
      <c r="C260" s="85" t="str" cm="1">
        <f t="array" ref="C260">IFERROR(INDEX('03.Muestra'!$F$8:$F$42,SMALL(IF("Página Web"='03.Muestra'!$D$8:$D$42,ROW('03.Muestra'!$F$8:$F$42)-MIN(ROW('03.Muestra'!$D$8:$D$42))+1,""),ROW()-246)),"")</f>
        <v>https://www.comunidad.madrid/es/tacp/normativa</v>
      </c>
      <c r="D260" s="99" t="s">
        <v>106</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Organos Competentes</v>
      </c>
      <c r="C261" s="85" t="str" cm="1">
        <f t="array" ref="C261">IFERROR(INDEX('03.Muestra'!$F$8:$F$42,SMALL(IF("Página Web"='03.Muestra'!$D$8:$D$42,ROW('03.Muestra'!$F$8:$F$42)-MIN(ROW('03.Muestra'!$D$8:$D$42))+1,""),ROW()-246)),"")</f>
        <v>https://www.comunidad.madrid/es/tacp/otros-organos-competentes</v>
      </c>
      <c r="D261" s="99" t="s">
        <v>106</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https://www.comunidad.madrid/es/tacp/contact</v>
      </c>
      <c r="D262" s="99" t="s">
        <v>106</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Accesibilidad</v>
      </c>
      <c r="C263" s="85" t="str" cm="1">
        <f t="array" ref="C263">IFERROR(INDEX('03.Muestra'!$F$8:$F$42,SMALL(IF("Página Web"='03.Muestra'!$D$8:$D$42,ROW('03.Muestra'!$F$8:$F$42)-MIN(ROW('03.Muestra'!$D$8:$D$42))+1,""),ROW()-246)),"")</f>
        <v>https://www.comunidad.madrid/es/tacp/accesibilidad</v>
      </c>
      <c r="D263" s="99" t="s">
        <v>106</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ref="D264:D281" si="13">IF(AND(B264&lt;&gt;"",C264&lt;&gt;""),"N/T","")</f>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101</v>
      </c>
      <c r="B284" s="23" t="s">
        <v>93</v>
      </c>
      <c r="C284" s="24" t="s">
        <v>121</v>
      </c>
      <c r="D284" s="25" t="s">
        <v>103</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106</v>
      </c>
      <c r="E285" s="79" t="str">
        <f t="shared" ref="E285:E319" si="14">IF(D285&lt;&gt;"",IF(AND(B285&lt;&gt;"",C285&lt;&gt;""),"","ERR"),"")</f>
        <v/>
      </c>
      <c r="F285" s="86" t="s">
        <v>104</v>
      </c>
      <c r="G285" s="87" t="s">
        <v>105</v>
      </c>
      <c r="H285" s="88" t="s">
        <v>106</v>
      </c>
      <c r="I285" s="89" t="s">
        <v>96</v>
      </c>
      <c r="J285" s="90" t="s">
        <v>94</v>
      </c>
      <c r="K285" s="181" t="s">
        <v>100</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Carta del presidente</v>
      </c>
      <c r="C286" s="85" t="str" cm="1">
        <f t="array" ref="C286">IFERROR(INDEX('03.Muestra'!$F$8:$F$42,SMALL(IF("Página Web"='03.Muestra'!$D$8:$D$42,ROW('03.Muestra'!$F$8:$F$42)-MIN(ROW('03.Muestra'!$D$8:$D$42))+1,""),ROW()-284)),"")</f>
        <v>https://www.comunidad.madrid/tacp/carta-del-presidente</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17</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Organización</v>
      </c>
      <c r="C287" s="85" t="str" cm="1">
        <f t="array" ref="C287">IFERROR(INDEX('03.Muestra'!$F$8:$F$42,SMALL(IF("Página Web"='03.Muestra'!$D$8:$D$42,ROW('03.Muestra'!$F$8:$F$42)-MIN(ROW('03.Muestra'!$D$8:$D$42))+1,""),ROW()-284)),"")</f>
        <v>https://www.comunidad.madrid/tacp/el-tribunal/organización</v>
      </c>
      <c r="D287" s="99" t="s">
        <v>106</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Acuerdos</v>
      </c>
      <c r="C288" s="85" t="str" cm="1">
        <f t="array" ref="C288">IFERROR(INDEX('03.Muestra'!$F$8:$F$42,SMALL(IF("Página Web"='03.Muestra'!$D$8:$D$42,ROW('03.Muestra'!$F$8:$F$42)-MIN(ROW('03.Muestra'!$D$8:$D$42))+1,""),ROW()-284)),"")</f>
        <v>https://www.comunidad.madrid/tacp/el-tribunal/acuerdos-del-tacp</v>
      </c>
      <c r="D288" s="99" t="s">
        <v>106</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Presentacion</v>
      </c>
      <c r="C289" s="85" t="str" cm="1">
        <f t="array" ref="C289">IFERROR(INDEX('03.Muestra'!$F$8:$F$42,SMALL(IF("Página Web"='03.Muestra'!$D$8:$D$42,ROW('03.Muestra'!$F$8:$F$42)-MIN(ROW('03.Muestra'!$D$8:$D$42))+1,""),ROW()-284)),"")</f>
        <v>https://www.comunidad.madrid/tacp/el-tribunal/presentacion-electronica-e-impresos-normalizados</v>
      </c>
      <c r="D289" s="99" t="s">
        <v>106</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Guia</v>
      </c>
      <c r="C290" s="85" t="str" cm="1">
        <f t="array" ref="C290">IFERROR(INDEX('03.Muestra'!$F$8:$F$42,SMALL(IF("Página Web"='03.Muestra'!$D$8:$D$42,ROW('03.Muestra'!$F$8:$F$42)-MIN(ROW('03.Muestra'!$D$8:$D$42))+1,""),ROW()-284)),"")</f>
        <v>https://www.comunidad.madrid/tacp/el-tribunal/guia-informativa-sobre-la-regulacion-del-tribunal-de-contratacion-publica-y-los</v>
      </c>
      <c r="D290" s="99" t="s">
        <v>106</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Preguntas</v>
      </c>
      <c r="C291" s="85" t="str" cm="1">
        <f t="array" ref="C291">IFERROR(INDEX('03.Muestra'!$F$8:$F$42,SMALL(IF("Página Web"='03.Muestra'!$D$8:$D$42,ROW('03.Muestra'!$F$8:$F$42)-MIN(ROW('03.Muestra'!$D$8:$D$42))+1,""),ROW()-284)),"")</f>
        <v>https://www.comunidad.madrid/tacp/faq-page</v>
      </c>
      <c r="D291" s="99" t="s">
        <v>106</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Histórico</v>
      </c>
      <c r="C292" s="85" t="str" cm="1">
        <f t="array" ref="C292">IFERROR(INDEX('03.Muestra'!$F$8:$F$42,SMALL(IF("Página Web"='03.Muestra'!$D$8:$D$42,ROW('03.Muestra'!$F$8:$F$42)-MIN(ROW('03.Muestra'!$D$8:$D$42))+1,""),ROW()-284)),"")</f>
        <v>https://www.comunidad.madrid/tacp/el-tribunal/historico-resoluciones-de-las-reclamaciones-de-acceso-informacion-publica</v>
      </c>
      <c r="D292" s="99" t="s">
        <v>106</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Estudios</v>
      </c>
      <c r="C293" s="85" t="str" cm="1">
        <f t="array" ref="C293">IFERROR(INDEX('03.Muestra'!$F$8:$F$42,SMALL(IF("Página Web"='03.Muestra'!$D$8:$D$42,ROW('03.Muestra'!$F$8:$F$42)-MIN(ROW('03.Muestra'!$D$8:$D$42))+1,""),ROW()-284)),"")</f>
        <v>https://www.comunidad.madrid/tacp/estudios</v>
      </c>
      <c r="D293" s="99" t="s">
        <v>106</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Memorias</v>
      </c>
      <c r="C294" s="85" t="str" cm="1">
        <f t="array" ref="C294">IFERROR(INDEX('03.Muestra'!$F$8:$F$42,SMALL(IF("Página Web"='03.Muestra'!$D$8:$D$42,ROW('03.Muestra'!$F$8:$F$42)-MIN(ROW('03.Muestra'!$D$8:$D$42))+1,""),ROW()-284)),"")</f>
        <v>https://www.comunidad.madrid/tacp/memorias</v>
      </c>
      <c r="D294" s="99" t="s">
        <v>106</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Busqueda Resol</v>
      </c>
      <c r="C295" s="85" t="str" cm="1">
        <f t="array" ref="C295">IFERROR(INDEX('03.Muestra'!$F$8:$F$42,SMALL(IF("Página Web"='03.Muestra'!$D$8:$D$42,ROW('03.Muestra'!$F$8:$F$42)-MIN(ROW('03.Muestra'!$D$8:$D$42))+1,""),ROW()-284)),"")</f>
        <v>https://www.comunidad.madrid/tacp/busquedaresoluciones</v>
      </c>
      <c r="D295" s="99" t="s">
        <v>106</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Novedades</v>
      </c>
      <c r="C296" s="85" t="str" cm="1">
        <f t="array" ref="C296">IFERROR(INDEX('03.Muestra'!$F$8:$F$42,SMALL(IF("Página Web"='03.Muestra'!$D$8:$D$42,ROW('03.Muestra'!$F$8:$F$42)-MIN(ROW('03.Muestra'!$D$8:$D$42))+1,""),ROW()-284)),"")</f>
        <v>https://www.comunidad.madrid/tacp/noticias</v>
      </c>
      <c r="D296" s="99" t="s">
        <v>106</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Recursos especiales</v>
      </c>
      <c r="C297" s="85" t="str" cm="1">
        <f t="array" ref="C297">IFERROR(INDEX('03.Muestra'!$F$8:$F$42,SMALL(IF("Página Web"='03.Muestra'!$D$8:$D$42,ROW('03.Muestra'!$F$8:$F$42)-MIN(ROW('03.Muestra'!$D$8:$D$42))+1,""),ROW()-284)),"")</f>
        <v>https://www.comunidad.madrid/tacp/novedades/publicacion-recursos-especiales-en-perfil-contratante</v>
      </c>
      <c r="D297" s="99" t="s">
        <v>106</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Normativa</v>
      </c>
      <c r="C298" s="85" t="str" cm="1">
        <f t="array" ref="C298">IFERROR(INDEX('03.Muestra'!$F$8:$F$42,SMALL(IF("Página Web"='03.Muestra'!$D$8:$D$42,ROW('03.Muestra'!$F$8:$F$42)-MIN(ROW('03.Muestra'!$D$8:$D$42))+1,""),ROW()-284)),"")</f>
        <v>https://www.comunidad.madrid/es/tacp/normativa</v>
      </c>
      <c r="D298" s="99" t="s">
        <v>106</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Organos Competentes</v>
      </c>
      <c r="C299" s="85" t="str" cm="1">
        <f t="array" ref="C299">IFERROR(INDEX('03.Muestra'!$F$8:$F$42,SMALL(IF("Página Web"='03.Muestra'!$D$8:$D$42,ROW('03.Muestra'!$F$8:$F$42)-MIN(ROW('03.Muestra'!$D$8:$D$42))+1,""),ROW()-284)),"")</f>
        <v>https://www.comunidad.madrid/es/tacp/otros-organos-competentes</v>
      </c>
      <c r="D299" s="99" t="s">
        <v>106</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https://www.comunidad.madrid/es/tacp/contact</v>
      </c>
      <c r="D300" s="99" t="s">
        <v>106</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Accesibilidad</v>
      </c>
      <c r="C301" s="85" t="str" cm="1">
        <f t="array" ref="C301">IFERROR(INDEX('03.Muestra'!$F$8:$F$42,SMALL(IF("Página Web"='03.Muestra'!$D$8:$D$42,ROW('03.Muestra'!$F$8:$F$42)-MIN(ROW('03.Muestra'!$D$8:$D$42))+1,""),ROW()-284)),"")</f>
        <v>https://www.comunidad.madrid/es/tacp/accesibilidad</v>
      </c>
      <c r="D301" s="99" t="s">
        <v>106</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ref="D302:D319" si="15">IF(AND(B302&lt;&gt;"",C302&lt;&gt;""),"N/T","")</f>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101</v>
      </c>
      <c r="B322" s="23" t="s">
        <v>93</v>
      </c>
      <c r="C322" s="24" t="s">
        <v>122</v>
      </c>
      <c r="D322" s="25" t="s">
        <v>103</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106</v>
      </c>
      <c r="E323" s="79" t="str">
        <f t="shared" ref="E323:E357" si="16">IF(D323&lt;&gt;"",IF(AND(B323&lt;&gt;"",C323&lt;&gt;""),"","ERR"),"")</f>
        <v/>
      </c>
      <c r="F323" s="86" t="s">
        <v>104</v>
      </c>
      <c r="G323" s="87" t="s">
        <v>105</v>
      </c>
      <c r="H323" s="88" t="s">
        <v>106</v>
      </c>
      <c r="I323" s="89" t="s">
        <v>96</v>
      </c>
      <c r="J323" s="90" t="s">
        <v>94</v>
      </c>
      <c r="K323" s="181" t="s">
        <v>100</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Carta del presidente</v>
      </c>
      <c r="C324" s="85" t="str" cm="1">
        <f t="array" ref="C324">IFERROR(INDEX('03.Muestra'!$F$8:$F$42,SMALL(IF("Página Web"='03.Muestra'!$D$8:$D$42,ROW('03.Muestra'!$F$8:$F$42)-MIN(ROW('03.Muestra'!$D$8:$D$42))+1,""),ROW()-322)),"")</f>
        <v>https://www.comunidad.madrid/tacp/carta-del-presidente</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17</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Organización</v>
      </c>
      <c r="C325" s="85" t="str" cm="1">
        <f t="array" ref="C325">IFERROR(INDEX('03.Muestra'!$F$8:$F$42,SMALL(IF("Página Web"='03.Muestra'!$D$8:$D$42,ROW('03.Muestra'!$F$8:$F$42)-MIN(ROW('03.Muestra'!$D$8:$D$42))+1,""),ROW()-322)),"")</f>
        <v>https://www.comunidad.madrid/tacp/el-tribunal/organización</v>
      </c>
      <c r="D325" s="99" t="s">
        <v>106</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Acuerdos</v>
      </c>
      <c r="C326" s="85" t="str" cm="1">
        <f t="array" ref="C326">IFERROR(INDEX('03.Muestra'!$F$8:$F$42,SMALL(IF("Página Web"='03.Muestra'!$D$8:$D$42,ROW('03.Muestra'!$F$8:$F$42)-MIN(ROW('03.Muestra'!$D$8:$D$42))+1,""),ROW()-322)),"")</f>
        <v>https://www.comunidad.madrid/tacp/el-tribunal/acuerdos-del-tacp</v>
      </c>
      <c r="D326" s="99" t="s">
        <v>106</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Presentacion</v>
      </c>
      <c r="C327" s="85" t="str" cm="1">
        <f t="array" ref="C327">IFERROR(INDEX('03.Muestra'!$F$8:$F$42,SMALL(IF("Página Web"='03.Muestra'!$D$8:$D$42,ROW('03.Muestra'!$F$8:$F$42)-MIN(ROW('03.Muestra'!$D$8:$D$42))+1,""),ROW()-322)),"")</f>
        <v>https://www.comunidad.madrid/tacp/el-tribunal/presentacion-electronica-e-impresos-normalizados</v>
      </c>
      <c r="D327" s="99" t="s">
        <v>106</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Guia</v>
      </c>
      <c r="C328" s="85" t="str" cm="1">
        <f t="array" ref="C328">IFERROR(INDEX('03.Muestra'!$F$8:$F$42,SMALL(IF("Página Web"='03.Muestra'!$D$8:$D$42,ROW('03.Muestra'!$F$8:$F$42)-MIN(ROW('03.Muestra'!$D$8:$D$42))+1,""),ROW()-322)),"")</f>
        <v>https://www.comunidad.madrid/tacp/el-tribunal/guia-informativa-sobre-la-regulacion-del-tribunal-de-contratacion-publica-y-los</v>
      </c>
      <c r="D328" s="99" t="s">
        <v>106</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Preguntas</v>
      </c>
      <c r="C329" s="85" t="str" cm="1">
        <f t="array" ref="C329">IFERROR(INDEX('03.Muestra'!$F$8:$F$42,SMALL(IF("Página Web"='03.Muestra'!$D$8:$D$42,ROW('03.Muestra'!$F$8:$F$42)-MIN(ROW('03.Muestra'!$D$8:$D$42))+1,""),ROW()-322)),"")</f>
        <v>https://www.comunidad.madrid/tacp/faq-page</v>
      </c>
      <c r="D329" s="99" t="s">
        <v>106</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Histórico</v>
      </c>
      <c r="C330" s="85" t="str" cm="1">
        <f t="array" ref="C330">IFERROR(INDEX('03.Muestra'!$F$8:$F$42,SMALL(IF("Página Web"='03.Muestra'!$D$8:$D$42,ROW('03.Muestra'!$F$8:$F$42)-MIN(ROW('03.Muestra'!$D$8:$D$42))+1,""),ROW()-322)),"")</f>
        <v>https://www.comunidad.madrid/tacp/el-tribunal/historico-resoluciones-de-las-reclamaciones-de-acceso-informacion-publica</v>
      </c>
      <c r="D330" s="99" t="s">
        <v>106</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Estudios</v>
      </c>
      <c r="C331" s="85" t="str" cm="1">
        <f t="array" ref="C331">IFERROR(INDEX('03.Muestra'!$F$8:$F$42,SMALL(IF("Página Web"='03.Muestra'!$D$8:$D$42,ROW('03.Muestra'!$F$8:$F$42)-MIN(ROW('03.Muestra'!$D$8:$D$42))+1,""),ROW()-322)),"")</f>
        <v>https://www.comunidad.madrid/tacp/estudios</v>
      </c>
      <c r="D331" s="99" t="s">
        <v>106</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Memorias</v>
      </c>
      <c r="C332" s="85" t="str" cm="1">
        <f t="array" ref="C332">IFERROR(INDEX('03.Muestra'!$F$8:$F$42,SMALL(IF("Página Web"='03.Muestra'!$D$8:$D$42,ROW('03.Muestra'!$F$8:$F$42)-MIN(ROW('03.Muestra'!$D$8:$D$42))+1,""),ROW()-322)),"")</f>
        <v>https://www.comunidad.madrid/tacp/memorias</v>
      </c>
      <c r="D332" s="99" t="s">
        <v>106</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Busqueda Resol</v>
      </c>
      <c r="C333" s="85" t="str" cm="1">
        <f t="array" ref="C333">IFERROR(INDEX('03.Muestra'!$F$8:$F$42,SMALL(IF("Página Web"='03.Muestra'!$D$8:$D$42,ROW('03.Muestra'!$F$8:$F$42)-MIN(ROW('03.Muestra'!$D$8:$D$42))+1,""),ROW()-322)),"")</f>
        <v>https://www.comunidad.madrid/tacp/busquedaresoluciones</v>
      </c>
      <c r="D333" s="99" t="s">
        <v>106</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Novedades</v>
      </c>
      <c r="C334" s="85" t="str" cm="1">
        <f t="array" ref="C334">IFERROR(INDEX('03.Muestra'!$F$8:$F$42,SMALL(IF("Página Web"='03.Muestra'!$D$8:$D$42,ROW('03.Muestra'!$F$8:$F$42)-MIN(ROW('03.Muestra'!$D$8:$D$42))+1,""),ROW()-322)),"")</f>
        <v>https://www.comunidad.madrid/tacp/noticias</v>
      </c>
      <c r="D334" s="99" t="s">
        <v>106</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Recursos especiales</v>
      </c>
      <c r="C335" s="85" t="str" cm="1">
        <f t="array" ref="C335">IFERROR(INDEX('03.Muestra'!$F$8:$F$42,SMALL(IF("Página Web"='03.Muestra'!$D$8:$D$42,ROW('03.Muestra'!$F$8:$F$42)-MIN(ROW('03.Muestra'!$D$8:$D$42))+1,""),ROW()-322)),"")</f>
        <v>https://www.comunidad.madrid/tacp/novedades/publicacion-recursos-especiales-en-perfil-contratante</v>
      </c>
      <c r="D335" s="99" t="s">
        <v>106</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Normativa</v>
      </c>
      <c r="C336" s="85" t="str" cm="1">
        <f t="array" ref="C336">IFERROR(INDEX('03.Muestra'!$F$8:$F$42,SMALL(IF("Página Web"='03.Muestra'!$D$8:$D$42,ROW('03.Muestra'!$F$8:$F$42)-MIN(ROW('03.Muestra'!$D$8:$D$42))+1,""),ROW()-322)),"")</f>
        <v>https://www.comunidad.madrid/es/tacp/normativa</v>
      </c>
      <c r="D336" s="99" t="s">
        <v>106</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Organos Competentes</v>
      </c>
      <c r="C337" s="85" t="str" cm="1">
        <f t="array" ref="C337">IFERROR(INDEX('03.Muestra'!$F$8:$F$42,SMALL(IF("Página Web"='03.Muestra'!$D$8:$D$42,ROW('03.Muestra'!$F$8:$F$42)-MIN(ROW('03.Muestra'!$D$8:$D$42))+1,""),ROW()-322)),"")</f>
        <v>https://www.comunidad.madrid/es/tacp/otros-organos-competentes</v>
      </c>
      <c r="D337" s="99" t="s">
        <v>106</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https://www.comunidad.madrid/es/tacp/contact</v>
      </c>
      <c r="D338" s="99" t="s">
        <v>106</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Accesibilidad</v>
      </c>
      <c r="C339" s="85" t="str" cm="1">
        <f t="array" ref="C339">IFERROR(INDEX('03.Muestra'!$F$8:$F$42,SMALL(IF("Página Web"='03.Muestra'!$D$8:$D$42,ROW('03.Muestra'!$F$8:$F$42)-MIN(ROW('03.Muestra'!$D$8:$D$42))+1,""),ROW()-322)),"")</f>
        <v>https://www.comunidad.madrid/es/tacp/accesibilidad</v>
      </c>
      <c r="D339" s="99" t="s">
        <v>106</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ref="D340:D357" si="17">IF(AND(B340&lt;&gt;"",C340&lt;&gt;""),"N/T","")</f>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101</v>
      </c>
      <c r="B360" s="23" t="s">
        <v>93</v>
      </c>
      <c r="C360" s="24" t="s">
        <v>123</v>
      </c>
      <c r="D360" s="25" t="s">
        <v>103</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https://www.comunidad.madrid/tacp/</v>
      </c>
      <c r="D361" s="99" t="s">
        <v>106</v>
      </c>
      <c r="E361" s="79" t="str">
        <f t="shared" ref="E361:E395" si="18">IF(D361&lt;&gt;"",IF(AND(B361&lt;&gt;"",C361&lt;&gt;""),"","ERR"),"")</f>
        <v/>
      </c>
      <c r="F361" s="86" t="s">
        <v>104</v>
      </c>
      <c r="G361" s="87" t="s">
        <v>105</v>
      </c>
      <c r="H361" s="88" t="s">
        <v>106</v>
      </c>
      <c r="I361" s="89" t="s">
        <v>96</v>
      </c>
      <c r="J361" s="90" t="s">
        <v>94</v>
      </c>
      <c r="K361" s="181" t="s">
        <v>100</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Carta del presidente</v>
      </c>
      <c r="C362" s="85" t="str" cm="1">
        <f t="array" ref="C362">IFERROR(INDEX('03.Muestra'!$F$8:$F$42,SMALL(IF("Página Web"='03.Muestra'!$D$8:$D$42,ROW('03.Muestra'!$F$8:$F$42)-MIN(ROW('03.Muestra'!$D$8:$D$42))+1,""),ROW()-360)),"")</f>
        <v>https://www.comunidad.madrid/tacp/carta-del-presidente</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17</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Organización</v>
      </c>
      <c r="C363" s="85" t="str" cm="1">
        <f t="array" ref="C363">IFERROR(INDEX('03.Muestra'!$F$8:$F$42,SMALL(IF("Página Web"='03.Muestra'!$D$8:$D$42,ROW('03.Muestra'!$F$8:$F$42)-MIN(ROW('03.Muestra'!$D$8:$D$42))+1,""),ROW()-360)),"")</f>
        <v>https://www.comunidad.madrid/tacp/el-tribunal/organización</v>
      </c>
      <c r="D363" s="99" t="s">
        <v>106</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Acuerdos</v>
      </c>
      <c r="C364" s="85" t="str" cm="1">
        <f t="array" ref="C364">IFERROR(INDEX('03.Muestra'!$F$8:$F$42,SMALL(IF("Página Web"='03.Muestra'!$D$8:$D$42,ROW('03.Muestra'!$F$8:$F$42)-MIN(ROW('03.Muestra'!$D$8:$D$42))+1,""),ROW()-360)),"")</f>
        <v>https://www.comunidad.madrid/tacp/el-tribunal/acuerdos-del-tacp</v>
      </c>
      <c r="D364" s="99" t="s">
        <v>106</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Presentacion</v>
      </c>
      <c r="C365" s="85" t="str" cm="1">
        <f t="array" ref="C365">IFERROR(INDEX('03.Muestra'!$F$8:$F$42,SMALL(IF("Página Web"='03.Muestra'!$D$8:$D$42,ROW('03.Muestra'!$F$8:$F$42)-MIN(ROW('03.Muestra'!$D$8:$D$42))+1,""),ROW()-360)),"")</f>
        <v>https://www.comunidad.madrid/tacp/el-tribunal/presentacion-electronica-e-impresos-normalizados</v>
      </c>
      <c r="D365" s="99" t="s">
        <v>106</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Guia</v>
      </c>
      <c r="C366" s="85" t="str" cm="1">
        <f t="array" ref="C366">IFERROR(INDEX('03.Muestra'!$F$8:$F$42,SMALL(IF("Página Web"='03.Muestra'!$D$8:$D$42,ROW('03.Muestra'!$F$8:$F$42)-MIN(ROW('03.Muestra'!$D$8:$D$42))+1,""),ROW()-360)),"")</f>
        <v>https://www.comunidad.madrid/tacp/el-tribunal/guia-informativa-sobre-la-regulacion-del-tribunal-de-contratacion-publica-y-los</v>
      </c>
      <c r="D366" s="99" t="s">
        <v>106</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Preguntas</v>
      </c>
      <c r="C367" s="85" t="str" cm="1">
        <f t="array" ref="C367">IFERROR(INDEX('03.Muestra'!$F$8:$F$42,SMALL(IF("Página Web"='03.Muestra'!$D$8:$D$42,ROW('03.Muestra'!$F$8:$F$42)-MIN(ROW('03.Muestra'!$D$8:$D$42))+1,""),ROW()-360)),"")</f>
        <v>https://www.comunidad.madrid/tacp/faq-page</v>
      </c>
      <c r="D367" s="99" t="s">
        <v>106</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Histórico</v>
      </c>
      <c r="C368" s="85" t="str" cm="1">
        <f t="array" ref="C368">IFERROR(INDEX('03.Muestra'!$F$8:$F$42,SMALL(IF("Página Web"='03.Muestra'!$D$8:$D$42,ROW('03.Muestra'!$F$8:$F$42)-MIN(ROW('03.Muestra'!$D$8:$D$42))+1,""),ROW()-360)),"")</f>
        <v>https://www.comunidad.madrid/tacp/el-tribunal/historico-resoluciones-de-las-reclamaciones-de-acceso-informacion-publica</v>
      </c>
      <c r="D368" s="99" t="s">
        <v>106</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Estudios</v>
      </c>
      <c r="C369" s="85" t="str" cm="1">
        <f t="array" ref="C369">IFERROR(INDEX('03.Muestra'!$F$8:$F$42,SMALL(IF("Página Web"='03.Muestra'!$D$8:$D$42,ROW('03.Muestra'!$F$8:$F$42)-MIN(ROW('03.Muestra'!$D$8:$D$42))+1,""),ROW()-360)),"")</f>
        <v>https://www.comunidad.madrid/tacp/estudios</v>
      </c>
      <c r="D369" s="99" t="s">
        <v>106</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Memorias</v>
      </c>
      <c r="C370" s="85" t="str" cm="1">
        <f t="array" ref="C370">IFERROR(INDEX('03.Muestra'!$F$8:$F$42,SMALL(IF("Página Web"='03.Muestra'!$D$8:$D$42,ROW('03.Muestra'!$F$8:$F$42)-MIN(ROW('03.Muestra'!$D$8:$D$42))+1,""),ROW()-360)),"")</f>
        <v>https://www.comunidad.madrid/tacp/memorias</v>
      </c>
      <c r="D370" s="99" t="s">
        <v>106</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Busqueda Resol</v>
      </c>
      <c r="C371" s="85" t="str" cm="1">
        <f t="array" ref="C371">IFERROR(INDEX('03.Muestra'!$F$8:$F$42,SMALL(IF("Página Web"='03.Muestra'!$D$8:$D$42,ROW('03.Muestra'!$F$8:$F$42)-MIN(ROW('03.Muestra'!$D$8:$D$42))+1,""),ROW()-360)),"")</f>
        <v>https://www.comunidad.madrid/tacp/busquedaresoluciones</v>
      </c>
      <c r="D371" s="99" t="s">
        <v>106</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Novedades</v>
      </c>
      <c r="C372" s="85" t="str" cm="1">
        <f t="array" ref="C372">IFERROR(INDEX('03.Muestra'!$F$8:$F$42,SMALL(IF("Página Web"='03.Muestra'!$D$8:$D$42,ROW('03.Muestra'!$F$8:$F$42)-MIN(ROW('03.Muestra'!$D$8:$D$42))+1,""),ROW()-360)),"")</f>
        <v>https://www.comunidad.madrid/tacp/noticias</v>
      </c>
      <c r="D372" s="99" t="s">
        <v>106</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Recursos especiales</v>
      </c>
      <c r="C373" s="85" t="str" cm="1">
        <f t="array" ref="C373">IFERROR(INDEX('03.Muestra'!$F$8:$F$42,SMALL(IF("Página Web"='03.Muestra'!$D$8:$D$42,ROW('03.Muestra'!$F$8:$F$42)-MIN(ROW('03.Muestra'!$D$8:$D$42))+1,""),ROW()-360)),"")</f>
        <v>https://www.comunidad.madrid/tacp/novedades/publicacion-recursos-especiales-en-perfil-contratante</v>
      </c>
      <c r="D373" s="99" t="s">
        <v>106</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Normativa</v>
      </c>
      <c r="C374" s="85" t="str" cm="1">
        <f t="array" ref="C374">IFERROR(INDEX('03.Muestra'!$F$8:$F$42,SMALL(IF("Página Web"='03.Muestra'!$D$8:$D$42,ROW('03.Muestra'!$F$8:$F$42)-MIN(ROW('03.Muestra'!$D$8:$D$42))+1,""),ROW()-360)),"")</f>
        <v>https://www.comunidad.madrid/es/tacp/normativa</v>
      </c>
      <c r="D374" s="99" t="s">
        <v>106</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Organos Competentes</v>
      </c>
      <c r="C375" s="85" t="str" cm="1">
        <f t="array" ref="C375">IFERROR(INDEX('03.Muestra'!$F$8:$F$42,SMALL(IF("Página Web"='03.Muestra'!$D$8:$D$42,ROW('03.Muestra'!$F$8:$F$42)-MIN(ROW('03.Muestra'!$D$8:$D$42))+1,""),ROW()-360)),"")</f>
        <v>https://www.comunidad.madrid/es/tacp/otros-organos-competentes</v>
      </c>
      <c r="D375" s="99" t="s">
        <v>106</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https://www.comunidad.madrid/es/tacp/contact</v>
      </c>
      <c r="D376" s="99" t="s">
        <v>106</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Accesibilidad</v>
      </c>
      <c r="C377" s="85" t="str" cm="1">
        <f t="array" ref="C377">IFERROR(INDEX('03.Muestra'!$F$8:$F$42,SMALL(IF("Página Web"='03.Muestra'!$D$8:$D$42,ROW('03.Muestra'!$F$8:$F$42)-MIN(ROW('03.Muestra'!$D$8:$D$42))+1,""),ROW()-360)),"")</f>
        <v>https://www.comunidad.madrid/es/tacp/accesibilidad</v>
      </c>
      <c r="D377" s="99" t="s">
        <v>106</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ref="D378:D395" si="19">IF(AND(B378&lt;&gt;"",C378&lt;&gt;""),"N/T","")</f>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101</v>
      </c>
      <c r="B398" s="23" t="s">
        <v>93</v>
      </c>
      <c r="C398" s="24" t="s">
        <v>124</v>
      </c>
      <c r="D398" s="25" t="s">
        <v>103</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https://www.comunidad.madrid/tacp/</v>
      </c>
      <c r="D399" s="99" t="s">
        <v>106</v>
      </c>
      <c r="E399" s="79" t="str">
        <f t="shared" ref="E399:E433" si="20">IF(D399&lt;&gt;"",IF(AND(B399&lt;&gt;"",C399&lt;&gt;""),"","ERR"),"")</f>
        <v/>
      </c>
      <c r="F399" s="86" t="s">
        <v>104</v>
      </c>
      <c r="G399" s="87" t="s">
        <v>105</v>
      </c>
      <c r="H399" s="88" t="s">
        <v>106</v>
      </c>
      <c r="I399" s="89" t="s">
        <v>96</v>
      </c>
      <c r="J399" s="90" t="s">
        <v>94</v>
      </c>
      <c r="K399" s="181" t="s">
        <v>100</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Carta del presidente</v>
      </c>
      <c r="C400" s="85" t="str" cm="1">
        <f t="array" ref="C400">IFERROR(INDEX('03.Muestra'!$F$8:$F$42,SMALL(IF("Página Web"='03.Muestra'!$D$8:$D$42,ROW('03.Muestra'!$F$8:$F$42)-MIN(ROW('03.Muestra'!$D$8:$D$42))+1,""),ROW()-398)),"")</f>
        <v>https://www.comunidad.madrid/tacp/carta-del-presidente</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17</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Organización</v>
      </c>
      <c r="C401" s="85" t="str" cm="1">
        <f t="array" ref="C401">IFERROR(INDEX('03.Muestra'!$F$8:$F$42,SMALL(IF("Página Web"='03.Muestra'!$D$8:$D$42,ROW('03.Muestra'!$F$8:$F$42)-MIN(ROW('03.Muestra'!$D$8:$D$42))+1,""),ROW()-398)),"")</f>
        <v>https://www.comunidad.madrid/tacp/el-tribunal/organización</v>
      </c>
      <c r="D401" s="99" t="s">
        <v>106</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Acuerdos</v>
      </c>
      <c r="C402" s="85" t="str" cm="1">
        <f t="array" ref="C402">IFERROR(INDEX('03.Muestra'!$F$8:$F$42,SMALL(IF("Página Web"='03.Muestra'!$D$8:$D$42,ROW('03.Muestra'!$F$8:$F$42)-MIN(ROW('03.Muestra'!$D$8:$D$42))+1,""),ROW()-398)),"")</f>
        <v>https://www.comunidad.madrid/tacp/el-tribunal/acuerdos-del-tacp</v>
      </c>
      <c r="D402" s="99" t="s">
        <v>106</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Presentacion</v>
      </c>
      <c r="C403" s="85" t="str" cm="1">
        <f t="array" ref="C403">IFERROR(INDEX('03.Muestra'!$F$8:$F$42,SMALL(IF("Página Web"='03.Muestra'!$D$8:$D$42,ROW('03.Muestra'!$F$8:$F$42)-MIN(ROW('03.Muestra'!$D$8:$D$42))+1,""),ROW()-398)),"")</f>
        <v>https://www.comunidad.madrid/tacp/el-tribunal/presentacion-electronica-e-impresos-normalizados</v>
      </c>
      <c r="D403" s="99" t="s">
        <v>106</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Guia</v>
      </c>
      <c r="C404" s="85" t="str" cm="1">
        <f t="array" ref="C404">IFERROR(INDEX('03.Muestra'!$F$8:$F$42,SMALL(IF("Página Web"='03.Muestra'!$D$8:$D$42,ROW('03.Muestra'!$F$8:$F$42)-MIN(ROW('03.Muestra'!$D$8:$D$42))+1,""),ROW()-398)),"")</f>
        <v>https://www.comunidad.madrid/tacp/el-tribunal/guia-informativa-sobre-la-regulacion-del-tribunal-de-contratacion-publica-y-los</v>
      </c>
      <c r="D404" s="99" t="s">
        <v>106</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Preguntas</v>
      </c>
      <c r="C405" s="85" t="str" cm="1">
        <f t="array" ref="C405">IFERROR(INDEX('03.Muestra'!$F$8:$F$42,SMALL(IF("Página Web"='03.Muestra'!$D$8:$D$42,ROW('03.Muestra'!$F$8:$F$42)-MIN(ROW('03.Muestra'!$D$8:$D$42))+1,""),ROW()-398)),"")</f>
        <v>https://www.comunidad.madrid/tacp/faq-page</v>
      </c>
      <c r="D405" s="99" t="s">
        <v>106</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Histórico</v>
      </c>
      <c r="C406" s="85" t="str" cm="1">
        <f t="array" ref="C406">IFERROR(INDEX('03.Muestra'!$F$8:$F$42,SMALL(IF("Página Web"='03.Muestra'!$D$8:$D$42,ROW('03.Muestra'!$F$8:$F$42)-MIN(ROW('03.Muestra'!$D$8:$D$42))+1,""),ROW()-398)),"")</f>
        <v>https://www.comunidad.madrid/tacp/el-tribunal/historico-resoluciones-de-las-reclamaciones-de-acceso-informacion-publica</v>
      </c>
      <c r="D406" s="99" t="s">
        <v>106</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Estudios</v>
      </c>
      <c r="C407" s="85" t="str" cm="1">
        <f t="array" ref="C407">IFERROR(INDEX('03.Muestra'!$F$8:$F$42,SMALL(IF("Página Web"='03.Muestra'!$D$8:$D$42,ROW('03.Muestra'!$F$8:$F$42)-MIN(ROW('03.Muestra'!$D$8:$D$42))+1,""),ROW()-398)),"")</f>
        <v>https://www.comunidad.madrid/tacp/estudios</v>
      </c>
      <c r="D407" s="99" t="s">
        <v>106</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Memorias</v>
      </c>
      <c r="C408" s="85" t="str" cm="1">
        <f t="array" ref="C408">IFERROR(INDEX('03.Muestra'!$F$8:$F$42,SMALL(IF("Página Web"='03.Muestra'!$D$8:$D$42,ROW('03.Muestra'!$F$8:$F$42)-MIN(ROW('03.Muestra'!$D$8:$D$42))+1,""),ROW()-398)),"")</f>
        <v>https://www.comunidad.madrid/tacp/memorias</v>
      </c>
      <c r="D408" s="99" t="s">
        <v>106</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Busqueda Resol</v>
      </c>
      <c r="C409" s="85" t="str" cm="1">
        <f t="array" ref="C409">IFERROR(INDEX('03.Muestra'!$F$8:$F$42,SMALL(IF("Página Web"='03.Muestra'!$D$8:$D$42,ROW('03.Muestra'!$F$8:$F$42)-MIN(ROW('03.Muestra'!$D$8:$D$42))+1,""),ROW()-398)),"")</f>
        <v>https://www.comunidad.madrid/tacp/busquedaresoluciones</v>
      </c>
      <c r="D409" s="99" t="s">
        <v>106</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Novedades</v>
      </c>
      <c r="C410" s="85" t="str" cm="1">
        <f t="array" ref="C410">IFERROR(INDEX('03.Muestra'!$F$8:$F$42,SMALL(IF("Página Web"='03.Muestra'!$D$8:$D$42,ROW('03.Muestra'!$F$8:$F$42)-MIN(ROW('03.Muestra'!$D$8:$D$42))+1,""),ROW()-398)),"")</f>
        <v>https://www.comunidad.madrid/tacp/noticias</v>
      </c>
      <c r="D410" s="99" t="s">
        <v>106</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Recursos especiales</v>
      </c>
      <c r="C411" s="85" t="str" cm="1">
        <f t="array" ref="C411">IFERROR(INDEX('03.Muestra'!$F$8:$F$42,SMALL(IF("Página Web"='03.Muestra'!$D$8:$D$42,ROW('03.Muestra'!$F$8:$F$42)-MIN(ROW('03.Muestra'!$D$8:$D$42))+1,""),ROW()-398)),"")</f>
        <v>https://www.comunidad.madrid/tacp/novedades/publicacion-recursos-especiales-en-perfil-contratante</v>
      </c>
      <c r="D411" s="99" t="s">
        <v>106</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Normativa</v>
      </c>
      <c r="C412" s="85" t="str" cm="1">
        <f t="array" ref="C412">IFERROR(INDEX('03.Muestra'!$F$8:$F$42,SMALL(IF("Página Web"='03.Muestra'!$D$8:$D$42,ROW('03.Muestra'!$F$8:$F$42)-MIN(ROW('03.Muestra'!$D$8:$D$42))+1,""),ROW()-398)),"")</f>
        <v>https://www.comunidad.madrid/es/tacp/normativa</v>
      </c>
      <c r="D412" s="99" t="s">
        <v>106</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Organos Competentes</v>
      </c>
      <c r="C413" s="85" t="str" cm="1">
        <f t="array" ref="C413">IFERROR(INDEX('03.Muestra'!$F$8:$F$42,SMALL(IF("Página Web"='03.Muestra'!$D$8:$D$42,ROW('03.Muestra'!$F$8:$F$42)-MIN(ROW('03.Muestra'!$D$8:$D$42))+1,""),ROW()-398)),"")</f>
        <v>https://www.comunidad.madrid/es/tacp/otros-organos-competentes</v>
      </c>
      <c r="D413" s="99" t="s">
        <v>106</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https://www.comunidad.madrid/es/tacp/contact</v>
      </c>
      <c r="D414" s="99" t="s">
        <v>106</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Accesibilidad</v>
      </c>
      <c r="C415" s="85" t="str" cm="1">
        <f t="array" ref="C415">IFERROR(INDEX('03.Muestra'!$F$8:$F$42,SMALL(IF("Página Web"='03.Muestra'!$D$8:$D$42,ROW('03.Muestra'!$F$8:$F$42)-MIN(ROW('03.Muestra'!$D$8:$D$42))+1,""),ROW()-398)),"")</f>
        <v>https://www.comunidad.madrid/es/tacp/accesibilidad</v>
      </c>
      <c r="D415" s="99" t="s">
        <v>106</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ref="D416:D433" si="21">IF(AND(B416&lt;&gt;"",C416&lt;&gt;""),"N/T","")</f>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101</v>
      </c>
      <c r="B436" s="23" t="s">
        <v>93</v>
      </c>
      <c r="C436" s="24" t="s">
        <v>125</v>
      </c>
      <c r="D436" s="25" t="s">
        <v>103</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https://www.comunidad.madrid/tacp/</v>
      </c>
      <c r="D437" s="99" t="s">
        <v>106</v>
      </c>
      <c r="E437" s="79" t="str">
        <f t="shared" ref="E437:E471" si="22">IF(D437&lt;&gt;"",IF(AND(B437&lt;&gt;"",C437&lt;&gt;""),"","ERR"),"")</f>
        <v/>
      </c>
      <c r="F437" s="86" t="s">
        <v>104</v>
      </c>
      <c r="G437" s="87" t="s">
        <v>105</v>
      </c>
      <c r="H437" s="88" t="s">
        <v>106</v>
      </c>
      <c r="I437" s="89" t="s">
        <v>96</v>
      </c>
      <c r="J437" s="90" t="s">
        <v>94</v>
      </c>
      <c r="K437" s="181"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Carta del presidente</v>
      </c>
      <c r="C438" s="85" t="str" cm="1">
        <f t="array" ref="C438">IFERROR(INDEX('03.Muestra'!$F$8:$F$42,SMALL(IF("Página Web"='03.Muestra'!$D$8:$D$42,ROW('03.Muestra'!$F$8:$F$42)-MIN(ROW('03.Muestra'!$D$8:$D$42))+1,""),ROW()-436)),"")</f>
        <v>https://www.comunidad.madrid/tacp/carta-del-presidente</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17</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Organización</v>
      </c>
      <c r="C439" s="85" t="str" cm="1">
        <f t="array" ref="C439">IFERROR(INDEX('03.Muestra'!$F$8:$F$42,SMALL(IF("Página Web"='03.Muestra'!$D$8:$D$42,ROW('03.Muestra'!$F$8:$F$42)-MIN(ROW('03.Muestra'!$D$8:$D$42))+1,""),ROW()-436)),"")</f>
        <v>https://www.comunidad.madrid/tacp/el-tribunal/organización</v>
      </c>
      <c r="D439" s="99" t="s">
        <v>106</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Acuerdos</v>
      </c>
      <c r="C440" s="85" t="str" cm="1">
        <f t="array" ref="C440">IFERROR(INDEX('03.Muestra'!$F$8:$F$42,SMALL(IF("Página Web"='03.Muestra'!$D$8:$D$42,ROW('03.Muestra'!$F$8:$F$42)-MIN(ROW('03.Muestra'!$D$8:$D$42))+1,""),ROW()-436)),"")</f>
        <v>https://www.comunidad.madrid/tacp/el-tribunal/acuerdos-del-tacp</v>
      </c>
      <c r="D440" s="99" t="s">
        <v>106</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Presentacion</v>
      </c>
      <c r="C441" s="85" t="str" cm="1">
        <f t="array" ref="C441">IFERROR(INDEX('03.Muestra'!$F$8:$F$42,SMALL(IF("Página Web"='03.Muestra'!$D$8:$D$42,ROW('03.Muestra'!$F$8:$F$42)-MIN(ROW('03.Muestra'!$D$8:$D$42))+1,""),ROW()-436)),"")</f>
        <v>https://www.comunidad.madrid/tacp/el-tribunal/presentacion-electronica-e-impresos-normalizados</v>
      </c>
      <c r="D441" s="99" t="s">
        <v>106</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Guia</v>
      </c>
      <c r="C442" s="85" t="str" cm="1">
        <f t="array" ref="C442">IFERROR(INDEX('03.Muestra'!$F$8:$F$42,SMALL(IF("Página Web"='03.Muestra'!$D$8:$D$42,ROW('03.Muestra'!$F$8:$F$42)-MIN(ROW('03.Muestra'!$D$8:$D$42))+1,""),ROW()-436)),"")</f>
        <v>https://www.comunidad.madrid/tacp/el-tribunal/guia-informativa-sobre-la-regulacion-del-tribunal-de-contratacion-publica-y-los</v>
      </c>
      <c r="D442" s="99" t="s">
        <v>106</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Preguntas</v>
      </c>
      <c r="C443" s="85" t="str" cm="1">
        <f t="array" ref="C443">IFERROR(INDEX('03.Muestra'!$F$8:$F$42,SMALL(IF("Página Web"='03.Muestra'!$D$8:$D$42,ROW('03.Muestra'!$F$8:$F$42)-MIN(ROW('03.Muestra'!$D$8:$D$42))+1,""),ROW()-436)),"")</f>
        <v>https://www.comunidad.madrid/tacp/faq-page</v>
      </c>
      <c r="D443" s="99" t="s">
        <v>106</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Histórico</v>
      </c>
      <c r="C444" s="85" t="str" cm="1">
        <f t="array" ref="C444">IFERROR(INDEX('03.Muestra'!$F$8:$F$42,SMALL(IF("Página Web"='03.Muestra'!$D$8:$D$42,ROW('03.Muestra'!$F$8:$F$42)-MIN(ROW('03.Muestra'!$D$8:$D$42))+1,""),ROW()-436)),"")</f>
        <v>https://www.comunidad.madrid/tacp/el-tribunal/historico-resoluciones-de-las-reclamaciones-de-acceso-informacion-publica</v>
      </c>
      <c r="D444" s="99" t="s">
        <v>106</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Estudios</v>
      </c>
      <c r="C445" s="85" t="str" cm="1">
        <f t="array" ref="C445">IFERROR(INDEX('03.Muestra'!$F$8:$F$42,SMALL(IF("Página Web"='03.Muestra'!$D$8:$D$42,ROW('03.Muestra'!$F$8:$F$42)-MIN(ROW('03.Muestra'!$D$8:$D$42))+1,""),ROW()-436)),"")</f>
        <v>https://www.comunidad.madrid/tacp/estudios</v>
      </c>
      <c r="D445" s="99" t="s">
        <v>106</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Memorias</v>
      </c>
      <c r="C446" s="85" t="str" cm="1">
        <f t="array" ref="C446">IFERROR(INDEX('03.Muestra'!$F$8:$F$42,SMALL(IF("Página Web"='03.Muestra'!$D$8:$D$42,ROW('03.Muestra'!$F$8:$F$42)-MIN(ROW('03.Muestra'!$D$8:$D$42))+1,""),ROW()-436)),"")</f>
        <v>https://www.comunidad.madrid/tacp/memorias</v>
      </c>
      <c r="D446" s="99" t="s">
        <v>106</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Busqueda Resol</v>
      </c>
      <c r="C447" s="85" t="str" cm="1">
        <f t="array" ref="C447">IFERROR(INDEX('03.Muestra'!$F$8:$F$42,SMALL(IF("Página Web"='03.Muestra'!$D$8:$D$42,ROW('03.Muestra'!$F$8:$F$42)-MIN(ROW('03.Muestra'!$D$8:$D$42))+1,""),ROW()-436)),"")</f>
        <v>https://www.comunidad.madrid/tacp/busquedaresoluciones</v>
      </c>
      <c r="D447" s="99" t="s">
        <v>106</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Novedades</v>
      </c>
      <c r="C448" s="85" t="str" cm="1">
        <f t="array" ref="C448">IFERROR(INDEX('03.Muestra'!$F$8:$F$42,SMALL(IF("Página Web"='03.Muestra'!$D$8:$D$42,ROW('03.Muestra'!$F$8:$F$42)-MIN(ROW('03.Muestra'!$D$8:$D$42))+1,""),ROW()-436)),"")</f>
        <v>https://www.comunidad.madrid/tacp/noticias</v>
      </c>
      <c r="D448" s="99" t="s">
        <v>106</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Recursos especiales</v>
      </c>
      <c r="C449" s="85" t="str" cm="1">
        <f t="array" ref="C449">IFERROR(INDEX('03.Muestra'!$F$8:$F$42,SMALL(IF("Página Web"='03.Muestra'!$D$8:$D$42,ROW('03.Muestra'!$F$8:$F$42)-MIN(ROW('03.Muestra'!$D$8:$D$42))+1,""),ROW()-436)),"")</f>
        <v>https://www.comunidad.madrid/tacp/novedades/publicacion-recursos-especiales-en-perfil-contratante</v>
      </c>
      <c r="D449" s="99" t="s">
        <v>106</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Normativa</v>
      </c>
      <c r="C450" s="85" t="str" cm="1">
        <f t="array" ref="C450">IFERROR(INDEX('03.Muestra'!$F$8:$F$42,SMALL(IF("Página Web"='03.Muestra'!$D$8:$D$42,ROW('03.Muestra'!$F$8:$F$42)-MIN(ROW('03.Muestra'!$D$8:$D$42))+1,""),ROW()-436)),"")</f>
        <v>https://www.comunidad.madrid/es/tacp/normativa</v>
      </c>
      <c r="D450" s="99" t="s">
        <v>106</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Organos Competentes</v>
      </c>
      <c r="C451" s="85" t="str" cm="1">
        <f t="array" ref="C451">IFERROR(INDEX('03.Muestra'!$F$8:$F$42,SMALL(IF("Página Web"='03.Muestra'!$D$8:$D$42,ROW('03.Muestra'!$F$8:$F$42)-MIN(ROW('03.Muestra'!$D$8:$D$42))+1,""),ROW()-436)),"")</f>
        <v>https://www.comunidad.madrid/es/tacp/otros-organos-competentes</v>
      </c>
      <c r="D451" s="99" t="s">
        <v>106</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https://www.comunidad.madrid/es/tacp/contact</v>
      </c>
      <c r="D452" s="99" t="s">
        <v>106</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Accesibilidad</v>
      </c>
      <c r="C453" s="85" t="str" cm="1">
        <f t="array" ref="C453">IFERROR(INDEX('03.Muestra'!$F$8:$F$42,SMALL(IF("Página Web"='03.Muestra'!$D$8:$D$42,ROW('03.Muestra'!$F$8:$F$42)-MIN(ROW('03.Muestra'!$D$8:$D$42))+1,""),ROW()-436)),"")</f>
        <v>https://www.comunidad.madrid/es/tacp/accesibilidad</v>
      </c>
      <c r="D453" s="99" t="s">
        <v>106</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ref="D454:D471" si="23">IF(AND(B454&lt;&gt;"",C454&lt;&gt;""),"N/T","")</f>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101</v>
      </c>
      <c r="B474" s="23" t="s">
        <v>93</v>
      </c>
      <c r="C474" s="24" t="s">
        <v>126</v>
      </c>
      <c r="D474" s="25" t="s">
        <v>103</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https://www.comunidad.madrid/tacp/</v>
      </c>
      <c r="D475" s="99" t="s">
        <v>106</v>
      </c>
      <c r="E475" s="79" t="str">
        <f t="shared" ref="E475:E509" si="24">IF(D475&lt;&gt;"",IF(AND(B475&lt;&gt;"",C475&lt;&gt;""),"","ERR"),"")</f>
        <v/>
      </c>
      <c r="F475" s="86" t="s">
        <v>104</v>
      </c>
      <c r="G475" s="87" t="s">
        <v>105</v>
      </c>
      <c r="H475" s="88" t="s">
        <v>106</v>
      </c>
      <c r="I475" s="89" t="s">
        <v>96</v>
      </c>
      <c r="J475" s="90" t="s">
        <v>94</v>
      </c>
      <c r="K475" s="181"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Carta del presidente</v>
      </c>
      <c r="C476" s="85" t="str" cm="1">
        <f t="array" ref="C476">IFERROR(INDEX('03.Muestra'!$F$8:$F$42,SMALL(IF("Página Web"='03.Muestra'!$D$8:$D$42,ROW('03.Muestra'!$F$8:$F$42)-MIN(ROW('03.Muestra'!$D$8:$D$42))+1,""),ROW()-474)),"")</f>
        <v>https://www.comunidad.madrid/tacp/carta-del-presidente</v>
      </c>
      <c r="D476" s="99" t="s">
        <v>106</v>
      </c>
      <c r="E476" s="79" t="str">
        <f t="shared" si="24"/>
        <v/>
      </c>
      <c r="F476" s="91">
        <f ca="1">COUNTIF($D475:INDIRECT("$D" &amp;  SUM(ROW()-1,'03.Muestra'!$D$45)-1),F475)</f>
        <v>0</v>
      </c>
      <c r="G476" s="91">
        <f ca="1">COUNTIF($D475:INDIRECT("$D" &amp;  SUM(ROW()-1,'03.Muestra'!$D$45)-1),G475)</f>
        <v>0</v>
      </c>
      <c r="H476" s="91">
        <f ca="1">COUNTIF($D475:INDIRECT("$D" &amp;  SUM(ROW()-1,'03.Muestra'!$D$45)-1),H475)</f>
        <v>17</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Organización</v>
      </c>
      <c r="C477" s="85" t="str" cm="1">
        <f t="array" ref="C477">IFERROR(INDEX('03.Muestra'!$F$8:$F$42,SMALL(IF("Página Web"='03.Muestra'!$D$8:$D$42,ROW('03.Muestra'!$F$8:$F$42)-MIN(ROW('03.Muestra'!$D$8:$D$42))+1,""),ROW()-474)),"")</f>
        <v>https://www.comunidad.madrid/tacp/el-tribunal/organización</v>
      </c>
      <c r="D477" s="99" t="s">
        <v>106</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Acuerdos</v>
      </c>
      <c r="C478" s="85" t="str" cm="1">
        <f t="array" ref="C478">IFERROR(INDEX('03.Muestra'!$F$8:$F$42,SMALL(IF("Página Web"='03.Muestra'!$D$8:$D$42,ROW('03.Muestra'!$F$8:$F$42)-MIN(ROW('03.Muestra'!$D$8:$D$42))+1,""),ROW()-474)),"")</f>
        <v>https://www.comunidad.madrid/tacp/el-tribunal/acuerdos-del-tacp</v>
      </c>
      <c r="D478" s="99" t="s">
        <v>106</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Presentacion</v>
      </c>
      <c r="C479" s="85" t="str" cm="1">
        <f t="array" ref="C479">IFERROR(INDEX('03.Muestra'!$F$8:$F$42,SMALL(IF("Página Web"='03.Muestra'!$D$8:$D$42,ROW('03.Muestra'!$F$8:$F$42)-MIN(ROW('03.Muestra'!$D$8:$D$42))+1,""),ROW()-474)),"")</f>
        <v>https://www.comunidad.madrid/tacp/el-tribunal/presentacion-electronica-e-impresos-normalizados</v>
      </c>
      <c r="D479" s="99" t="s">
        <v>106</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Guia</v>
      </c>
      <c r="C480" s="85" t="str" cm="1">
        <f t="array" ref="C480">IFERROR(INDEX('03.Muestra'!$F$8:$F$42,SMALL(IF("Página Web"='03.Muestra'!$D$8:$D$42,ROW('03.Muestra'!$F$8:$F$42)-MIN(ROW('03.Muestra'!$D$8:$D$42))+1,""),ROW()-474)),"")</f>
        <v>https://www.comunidad.madrid/tacp/el-tribunal/guia-informativa-sobre-la-regulacion-del-tribunal-de-contratacion-publica-y-los</v>
      </c>
      <c r="D480" s="99" t="s">
        <v>106</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Preguntas</v>
      </c>
      <c r="C481" s="85" t="str" cm="1">
        <f t="array" ref="C481">IFERROR(INDEX('03.Muestra'!$F$8:$F$42,SMALL(IF("Página Web"='03.Muestra'!$D$8:$D$42,ROW('03.Muestra'!$F$8:$F$42)-MIN(ROW('03.Muestra'!$D$8:$D$42))+1,""),ROW()-474)),"")</f>
        <v>https://www.comunidad.madrid/tacp/faq-page</v>
      </c>
      <c r="D481" s="99" t="s">
        <v>106</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Histórico</v>
      </c>
      <c r="C482" s="85" t="str" cm="1">
        <f t="array" ref="C482">IFERROR(INDEX('03.Muestra'!$F$8:$F$42,SMALL(IF("Página Web"='03.Muestra'!$D$8:$D$42,ROW('03.Muestra'!$F$8:$F$42)-MIN(ROW('03.Muestra'!$D$8:$D$42))+1,""),ROW()-474)),"")</f>
        <v>https://www.comunidad.madrid/tacp/el-tribunal/historico-resoluciones-de-las-reclamaciones-de-acceso-informacion-publica</v>
      </c>
      <c r="D482" s="99" t="s">
        <v>106</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Estudios</v>
      </c>
      <c r="C483" s="85" t="str" cm="1">
        <f t="array" ref="C483">IFERROR(INDEX('03.Muestra'!$F$8:$F$42,SMALL(IF("Página Web"='03.Muestra'!$D$8:$D$42,ROW('03.Muestra'!$F$8:$F$42)-MIN(ROW('03.Muestra'!$D$8:$D$42))+1,""),ROW()-474)),"")</f>
        <v>https://www.comunidad.madrid/tacp/estudios</v>
      </c>
      <c r="D483" s="99" t="s">
        <v>106</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Memorias</v>
      </c>
      <c r="C484" s="85" t="str" cm="1">
        <f t="array" ref="C484">IFERROR(INDEX('03.Muestra'!$F$8:$F$42,SMALL(IF("Página Web"='03.Muestra'!$D$8:$D$42,ROW('03.Muestra'!$F$8:$F$42)-MIN(ROW('03.Muestra'!$D$8:$D$42))+1,""),ROW()-474)),"")</f>
        <v>https://www.comunidad.madrid/tacp/memorias</v>
      </c>
      <c r="D484" s="99" t="s">
        <v>106</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Busqueda Resol</v>
      </c>
      <c r="C485" s="85" t="str" cm="1">
        <f t="array" ref="C485">IFERROR(INDEX('03.Muestra'!$F$8:$F$42,SMALL(IF("Página Web"='03.Muestra'!$D$8:$D$42,ROW('03.Muestra'!$F$8:$F$42)-MIN(ROW('03.Muestra'!$D$8:$D$42))+1,""),ROW()-474)),"")</f>
        <v>https://www.comunidad.madrid/tacp/busquedaresoluciones</v>
      </c>
      <c r="D485" s="99" t="s">
        <v>106</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Novedades</v>
      </c>
      <c r="C486" s="85" t="str" cm="1">
        <f t="array" ref="C486">IFERROR(INDEX('03.Muestra'!$F$8:$F$42,SMALL(IF("Página Web"='03.Muestra'!$D$8:$D$42,ROW('03.Muestra'!$F$8:$F$42)-MIN(ROW('03.Muestra'!$D$8:$D$42))+1,""),ROW()-474)),"")</f>
        <v>https://www.comunidad.madrid/tacp/noticias</v>
      </c>
      <c r="D486" s="99" t="s">
        <v>106</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Recursos especiales</v>
      </c>
      <c r="C487" s="85" t="str" cm="1">
        <f t="array" ref="C487">IFERROR(INDEX('03.Muestra'!$F$8:$F$42,SMALL(IF("Página Web"='03.Muestra'!$D$8:$D$42,ROW('03.Muestra'!$F$8:$F$42)-MIN(ROW('03.Muestra'!$D$8:$D$42))+1,""),ROW()-474)),"")</f>
        <v>https://www.comunidad.madrid/tacp/novedades/publicacion-recursos-especiales-en-perfil-contratante</v>
      </c>
      <c r="D487" s="99" t="s">
        <v>106</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Normativa</v>
      </c>
      <c r="C488" s="85" t="str" cm="1">
        <f t="array" ref="C488">IFERROR(INDEX('03.Muestra'!$F$8:$F$42,SMALL(IF("Página Web"='03.Muestra'!$D$8:$D$42,ROW('03.Muestra'!$F$8:$F$42)-MIN(ROW('03.Muestra'!$D$8:$D$42))+1,""),ROW()-474)),"")</f>
        <v>https://www.comunidad.madrid/es/tacp/normativa</v>
      </c>
      <c r="D488" s="99" t="s">
        <v>106</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Organos Competentes</v>
      </c>
      <c r="C489" s="85" t="str" cm="1">
        <f t="array" ref="C489">IFERROR(INDEX('03.Muestra'!$F$8:$F$42,SMALL(IF("Página Web"='03.Muestra'!$D$8:$D$42,ROW('03.Muestra'!$F$8:$F$42)-MIN(ROW('03.Muestra'!$D$8:$D$42))+1,""),ROW()-474)),"")</f>
        <v>https://www.comunidad.madrid/es/tacp/otros-organos-competentes</v>
      </c>
      <c r="D489" s="99" t="s">
        <v>106</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https://www.comunidad.madrid/es/tacp/contact</v>
      </c>
      <c r="D490" s="99" t="s">
        <v>106</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Accesibilidad</v>
      </c>
      <c r="C491" s="85" t="str" cm="1">
        <f t="array" ref="C491">IFERROR(INDEX('03.Muestra'!$F$8:$F$42,SMALL(IF("Página Web"='03.Muestra'!$D$8:$D$42,ROW('03.Muestra'!$F$8:$F$42)-MIN(ROW('03.Muestra'!$D$8:$D$42))+1,""),ROW()-474)),"")</f>
        <v>https://www.comunidad.madrid/es/tacp/accesibilidad</v>
      </c>
      <c r="D491" s="99" t="s">
        <v>106</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ref="D492:D509" si="25">IF(AND(B492&lt;&gt;"",C492&lt;&gt;""),"N/T","")</f>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101</v>
      </c>
      <c r="B512" s="23" t="s">
        <v>93</v>
      </c>
      <c r="C512" s="24" t="s">
        <v>127</v>
      </c>
      <c r="D512" s="25" t="s">
        <v>103</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https://www.comunidad.madrid/tacp/</v>
      </c>
      <c r="D513" s="99" t="s">
        <v>106</v>
      </c>
      <c r="E513" s="79" t="str">
        <f t="shared" ref="E513:E547" si="26">IF(D513&lt;&gt;"",IF(AND(B513&lt;&gt;"",C513&lt;&gt;""),"","ERR"),"")</f>
        <v/>
      </c>
      <c r="F513" s="86" t="s">
        <v>104</v>
      </c>
      <c r="G513" s="87" t="s">
        <v>105</v>
      </c>
      <c r="H513" s="88" t="s">
        <v>106</v>
      </c>
      <c r="I513" s="89" t="s">
        <v>96</v>
      </c>
      <c r="J513" s="90" t="s">
        <v>94</v>
      </c>
      <c r="K513" s="181"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Carta del presidente</v>
      </c>
      <c r="C514" s="85" t="str" cm="1">
        <f t="array" ref="C514">IFERROR(INDEX('03.Muestra'!$F$8:$F$42,SMALL(IF("Página Web"='03.Muestra'!$D$8:$D$42,ROW('03.Muestra'!$F$8:$F$42)-MIN(ROW('03.Muestra'!$D$8:$D$42))+1,""),ROW()-512)),"")</f>
        <v>https://www.comunidad.madrid/tacp/carta-del-presidente</v>
      </c>
      <c r="D514" s="99" t="s">
        <v>106</v>
      </c>
      <c r="E514" s="79" t="str">
        <f t="shared" si="26"/>
        <v/>
      </c>
      <c r="F514" s="91">
        <f ca="1">COUNTIF($D513:INDIRECT("$D" &amp;  SUM(ROW()-1,'03.Muestra'!$D$45)-1),F513)</f>
        <v>0</v>
      </c>
      <c r="G514" s="91">
        <f ca="1">COUNTIF($D513:INDIRECT("$D" &amp;  SUM(ROW()-1,'03.Muestra'!$D$45)-1),G513)</f>
        <v>0</v>
      </c>
      <c r="H514" s="91">
        <f ca="1">COUNTIF($D513:INDIRECT("$D" &amp;  SUM(ROW()-1,'03.Muestra'!$D$45)-1),H513)</f>
        <v>17</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Organización</v>
      </c>
      <c r="C515" s="85" t="str" cm="1">
        <f t="array" ref="C515">IFERROR(INDEX('03.Muestra'!$F$8:$F$42,SMALL(IF("Página Web"='03.Muestra'!$D$8:$D$42,ROW('03.Muestra'!$F$8:$F$42)-MIN(ROW('03.Muestra'!$D$8:$D$42))+1,""),ROW()-512)),"")</f>
        <v>https://www.comunidad.madrid/tacp/el-tribunal/organización</v>
      </c>
      <c r="D515" s="99" t="s">
        <v>106</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Acuerdos</v>
      </c>
      <c r="C516" s="85" t="str" cm="1">
        <f t="array" ref="C516">IFERROR(INDEX('03.Muestra'!$F$8:$F$42,SMALL(IF("Página Web"='03.Muestra'!$D$8:$D$42,ROW('03.Muestra'!$F$8:$F$42)-MIN(ROW('03.Muestra'!$D$8:$D$42))+1,""),ROW()-512)),"")</f>
        <v>https://www.comunidad.madrid/tacp/el-tribunal/acuerdos-del-tacp</v>
      </c>
      <c r="D516" s="99" t="s">
        <v>106</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Presentacion</v>
      </c>
      <c r="C517" s="85" t="str" cm="1">
        <f t="array" ref="C517">IFERROR(INDEX('03.Muestra'!$F$8:$F$42,SMALL(IF("Página Web"='03.Muestra'!$D$8:$D$42,ROW('03.Muestra'!$F$8:$F$42)-MIN(ROW('03.Muestra'!$D$8:$D$42))+1,""),ROW()-512)),"")</f>
        <v>https://www.comunidad.madrid/tacp/el-tribunal/presentacion-electronica-e-impresos-normalizados</v>
      </c>
      <c r="D517" s="99" t="s">
        <v>106</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Guia</v>
      </c>
      <c r="C518" s="85" t="str" cm="1">
        <f t="array" ref="C518">IFERROR(INDEX('03.Muestra'!$F$8:$F$42,SMALL(IF("Página Web"='03.Muestra'!$D$8:$D$42,ROW('03.Muestra'!$F$8:$F$42)-MIN(ROW('03.Muestra'!$D$8:$D$42))+1,""),ROW()-512)),"")</f>
        <v>https://www.comunidad.madrid/tacp/el-tribunal/guia-informativa-sobre-la-regulacion-del-tribunal-de-contratacion-publica-y-los</v>
      </c>
      <c r="D518" s="99" t="s">
        <v>106</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Preguntas</v>
      </c>
      <c r="C519" s="85" t="str" cm="1">
        <f t="array" ref="C519">IFERROR(INDEX('03.Muestra'!$F$8:$F$42,SMALL(IF("Página Web"='03.Muestra'!$D$8:$D$42,ROW('03.Muestra'!$F$8:$F$42)-MIN(ROW('03.Muestra'!$D$8:$D$42))+1,""),ROW()-512)),"")</f>
        <v>https://www.comunidad.madrid/tacp/faq-page</v>
      </c>
      <c r="D519" s="99" t="s">
        <v>106</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Histórico</v>
      </c>
      <c r="C520" s="85" t="str" cm="1">
        <f t="array" ref="C520">IFERROR(INDEX('03.Muestra'!$F$8:$F$42,SMALL(IF("Página Web"='03.Muestra'!$D$8:$D$42,ROW('03.Muestra'!$F$8:$F$42)-MIN(ROW('03.Muestra'!$D$8:$D$42))+1,""),ROW()-512)),"")</f>
        <v>https://www.comunidad.madrid/tacp/el-tribunal/historico-resoluciones-de-las-reclamaciones-de-acceso-informacion-publica</v>
      </c>
      <c r="D520" s="99" t="s">
        <v>106</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Estudios</v>
      </c>
      <c r="C521" s="85" t="str" cm="1">
        <f t="array" ref="C521">IFERROR(INDEX('03.Muestra'!$F$8:$F$42,SMALL(IF("Página Web"='03.Muestra'!$D$8:$D$42,ROW('03.Muestra'!$F$8:$F$42)-MIN(ROW('03.Muestra'!$D$8:$D$42))+1,""),ROW()-512)),"")</f>
        <v>https://www.comunidad.madrid/tacp/estudios</v>
      </c>
      <c r="D521" s="99" t="s">
        <v>106</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Memorias</v>
      </c>
      <c r="C522" s="85" t="str" cm="1">
        <f t="array" ref="C522">IFERROR(INDEX('03.Muestra'!$F$8:$F$42,SMALL(IF("Página Web"='03.Muestra'!$D$8:$D$42,ROW('03.Muestra'!$F$8:$F$42)-MIN(ROW('03.Muestra'!$D$8:$D$42))+1,""),ROW()-512)),"")</f>
        <v>https://www.comunidad.madrid/tacp/memorias</v>
      </c>
      <c r="D522" s="99" t="s">
        <v>106</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Busqueda Resol</v>
      </c>
      <c r="C523" s="85" t="str" cm="1">
        <f t="array" ref="C523">IFERROR(INDEX('03.Muestra'!$F$8:$F$42,SMALL(IF("Página Web"='03.Muestra'!$D$8:$D$42,ROW('03.Muestra'!$F$8:$F$42)-MIN(ROW('03.Muestra'!$D$8:$D$42))+1,""),ROW()-512)),"")</f>
        <v>https://www.comunidad.madrid/tacp/busquedaresoluciones</v>
      </c>
      <c r="D523" s="99" t="s">
        <v>106</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Novedades</v>
      </c>
      <c r="C524" s="85" t="str" cm="1">
        <f t="array" ref="C524">IFERROR(INDEX('03.Muestra'!$F$8:$F$42,SMALL(IF("Página Web"='03.Muestra'!$D$8:$D$42,ROW('03.Muestra'!$F$8:$F$42)-MIN(ROW('03.Muestra'!$D$8:$D$42))+1,""),ROW()-512)),"")</f>
        <v>https://www.comunidad.madrid/tacp/noticias</v>
      </c>
      <c r="D524" s="99" t="s">
        <v>106</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Recursos especiales</v>
      </c>
      <c r="C525" s="85" t="str" cm="1">
        <f t="array" ref="C525">IFERROR(INDEX('03.Muestra'!$F$8:$F$42,SMALL(IF("Página Web"='03.Muestra'!$D$8:$D$42,ROW('03.Muestra'!$F$8:$F$42)-MIN(ROW('03.Muestra'!$D$8:$D$42))+1,""),ROW()-512)),"")</f>
        <v>https://www.comunidad.madrid/tacp/novedades/publicacion-recursos-especiales-en-perfil-contratante</v>
      </c>
      <c r="D525" s="99" t="s">
        <v>106</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Normativa</v>
      </c>
      <c r="C526" s="85" t="str" cm="1">
        <f t="array" ref="C526">IFERROR(INDEX('03.Muestra'!$F$8:$F$42,SMALL(IF("Página Web"='03.Muestra'!$D$8:$D$42,ROW('03.Muestra'!$F$8:$F$42)-MIN(ROW('03.Muestra'!$D$8:$D$42))+1,""),ROW()-512)),"")</f>
        <v>https://www.comunidad.madrid/es/tacp/normativa</v>
      </c>
      <c r="D526" s="99" t="s">
        <v>106</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Organos Competentes</v>
      </c>
      <c r="C527" s="85" t="str" cm="1">
        <f t="array" ref="C527">IFERROR(INDEX('03.Muestra'!$F$8:$F$42,SMALL(IF("Página Web"='03.Muestra'!$D$8:$D$42,ROW('03.Muestra'!$F$8:$F$42)-MIN(ROW('03.Muestra'!$D$8:$D$42))+1,""),ROW()-512)),"")</f>
        <v>https://www.comunidad.madrid/es/tacp/otros-organos-competentes</v>
      </c>
      <c r="D527" s="99" t="s">
        <v>106</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https://www.comunidad.madrid/es/tacp/contact</v>
      </c>
      <c r="D528" s="99" t="s">
        <v>106</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Accesibilidad</v>
      </c>
      <c r="C529" s="85" t="str" cm="1">
        <f t="array" ref="C529">IFERROR(INDEX('03.Muestra'!$F$8:$F$42,SMALL(IF("Página Web"='03.Muestra'!$D$8:$D$42,ROW('03.Muestra'!$F$8:$F$42)-MIN(ROW('03.Muestra'!$D$8:$D$42))+1,""),ROW()-512)),"")</f>
        <v>https://www.comunidad.madrid/es/tacp/accesibilidad</v>
      </c>
      <c r="D529" s="99" t="s">
        <v>106</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ref="D530:D547" si="27">IF(AND(B530&lt;&gt;"",C530&lt;&gt;""),"N/T","")</f>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101</v>
      </c>
      <c r="B550" s="23" t="s">
        <v>93</v>
      </c>
      <c r="C550" s="24" t="s">
        <v>128</v>
      </c>
      <c r="D550" s="25" t="s">
        <v>103</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https://www.comunidad.madrid/tacp/</v>
      </c>
      <c r="D551" s="99" t="s">
        <v>106</v>
      </c>
      <c r="E551" s="79" t="str">
        <f t="shared" ref="E551:E585" si="28">IF(D551&lt;&gt;"",IF(AND(B551&lt;&gt;"",C551&lt;&gt;""),"","ERR"),"")</f>
        <v/>
      </c>
      <c r="F551" s="86" t="s">
        <v>104</v>
      </c>
      <c r="G551" s="87" t="s">
        <v>105</v>
      </c>
      <c r="H551" s="88" t="s">
        <v>106</v>
      </c>
      <c r="I551" s="89" t="s">
        <v>96</v>
      </c>
      <c r="J551" s="90" t="s">
        <v>94</v>
      </c>
      <c r="K551" s="181"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Carta del presidente</v>
      </c>
      <c r="C552" s="85" t="str" cm="1">
        <f t="array" ref="C552">IFERROR(INDEX('03.Muestra'!$F$8:$F$42,SMALL(IF("Página Web"='03.Muestra'!$D$8:$D$42,ROW('03.Muestra'!$F$8:$F$42)-MIN(ROW('03.Muestra'!$D$8:$D$42))+1,""),ROW()-550)),"")</f>
        <v>https://www.comunidad.madrid/tacp/carta-del-presidente</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17</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Organización</v>
      </c>
      <c r="C553" s="85" t="str" cm="1">
        <f t="array" ref="C553">IFERROR(INDEX('03.Muestra'!$F$8:$F$42,SMALL(IF("Página Web"='03.Muestra'!$D$8:$D$42,ROW('03.Muestra'!$F$8:$F$42)-MIN(ROW('03.Muestra'!$D$8:$D$42))+1,""),ROW()-550)),"")</f>
        <v>https://www.comunidad.madrid/tacp/el-tribunal/organización</v>
      </c>
      <c r="D553" s="99" t="s">
        <v>106</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Acuerdos</v>
      </c>
      <c r="C554" s="85" t="str" cm="1">
        <f t="array" ref="C554">IFERROR(INDEX('03.Muestra'!$F$8:$F$42,SMALL(IF("Página Web"='03.Muestra'!$D$8:$D$42,ROW('03.Muestra'!$F$8:$F$42)-MIN(ROW('03.Muestra'!$D$8:$D$42))+1,""),ROW()-550)),"")</f>
        <v>https://www.comunidad.madrid/tacp/el-tribunal/acuerdos-del-tacp</v>
      </c>
      <c r="D554" s="99" t="s">
        <v>106</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Presentacion</v>
      </c>
      <c r="C555" s="85" t="str" cm="1">
        <f t="array" ref="C555">IFERROR(INDEX('03.Muestra'!$F$8:$F$42,SMALL(IF("Página Web"='03.Muestra'!$D$8:$D$42,ROW('03.Muestra'!$F$8:$F$42)-MIN(ROW('03.Muestra'!$D$8:$D$42))+1,""),ROW()-550)),"")</f>
        <v>https://www.comunidad.madrid/tacp/el-tribunal/presentacion-electronica-e-impresos-normalizados</v>
      </c>
      <c r="D555" s="99" t="s">
        <v>106</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Guia</v>
      </c>
      <c r="C556" s="85" t="str" cm="1">
        <f t="array" ref="C556">IFERROR(INDEX('03.Muestra'!$F$8:$F$42,SMALL(IF("Página Web"='03.Muestra'!$D$8:$D$42,ROW('03.Muestra'!$F$8:$F$42)-MIN(ROW('03.Muestra'!$D$8:$D$42))+1,""),ROW()-550)),"")</f>
        <v>https://www.comunidad.madrid/tacp/el-tribunal/guia-informativa-sobre-la-regulacion-del-tribunal-de-contratacion-publica-y-los</v>
      </c>
      <c r="D556" s="99" t="s">
        <v>106</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Preguntas</v>
      </c>
      <c r="C557" s="85" t="str" cm="1">
        <f t="array" ref="C557">IFERROR(INDEX('03.Muestra'!$F$8:$F$42,SMALL(IF("Página Web"='03.Muestra'!$D$8:$D$42,ROW('03.Muestra'!$F$8:$F$42)-MIN(ROW('03.Muestra'!$D$8:$D$42))+1,""),ROW()-550)),"")</f>
        <v>https://www.comunidad.madrid/tacp/faq-page</v>
      </c>
      <c r="D557" s="99" t="s">
        <v>106</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Histórico</v>
      </c>
      <c r="C558" s="85" t="str" cm="1">
        <f t="array" ref="C558">IFERROR(INDEX('03.Muestra'!$F$8:$F$42,SMALL(IF("Página Web"='03.Muestra'!$D$8:$D$42,ROW('03.Muestra'!$F$8:$F$42)-MIN(ROW('03.Muestra'!$D$8:$D$42))+1,""),ROW()-550)),"")</f>
        <v>https://www.comunidad.madrid/tacp/el-tribunal/historico-resoluciones-de-las-reclamaciones-de-acceso-informacion-publica</v>
      </c>
      <c r="D558" s="99" t="s">
        <v>106</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Estudios</v>
      </c>
      <c r="C559" s="85" t="str" cm="1">
        <f t="array" ref="C559">IFERROR(INDEX('03.Muestra'!$F$8:$F$42,SMALL(IF("Página Web"='03.Muestra'!$D$8:$D$42,ROW('03.Muestra'!$F$8:$F$42)-MIN(ROW('03.Muestra'!$D$8:$D$42))+1,""),ROW()-550)),"")</f>
        <v>https://www.comunidad.madrid/tacp/estudios</v>
      </c>
      <c r="D559" s="99" t="s">
        <v>106</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Memorias</v>
      </c>
      <c r="C560" s="85" t="str" cm="1">
        <f t="array" ref="C560">IFERROR(INDEX('03.Muestra'!$F$8:$F$42,SMALL(IF("Página Web"='03.Muestra'!$D$8:$D$42,ROW('03.Muestra'!$F$8:$F$42)-MIN(ROW('03.Muestra'!$D$8:$D$42))+1,""),ROW()-550)),"")</f>
        <v>https://www.comunidad.madrid/tacp/memorias</v>
      </c>
      <c r="D560" s="99" t="s">
        <v>106</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Busqueda Resol</v>
      </c>
      <c r="C561" s="85" t="str" cm="1">
        <f t="array" ref="C561">IFERROR(INDEX('03.Muestra'!$F$8:$F$42,SMALL(IF("Página Web"='03.Muestra'!$D$8:$D$42,ROW('03.Muestra'!$F$8:$F$42)-MIN(ROW('03.Muestra'!$D$8:$D$42))+1,""),ROW()-550)),"")</f>
        <v>https://www.comunidad.madrid/tacp/busquedaresoluciones</v>
      </c>
      <c r="D561" s="99" t="s">
        <v>106</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Novedades</v>
      </c>
      <c r="C562" s="85" t="str" cm="1">
        <f t="array" ref="C562">IFERROR(INDEX('03.Muestra'!$F$8:$F$42,SMALL(IF("Página Web"='03.Muestra'!$D$8:$D$42,ROW('03.Muestra'!$F$8:$F$42)-MIN(ROW('03.Muestra'!$D$8:$D$42))+1,""),ROW()-550)),"")</f>
        <v>https://www.comunidad.madrid/tacp/noticias</v>
      </c>
      <c r="D562" s="99" t="s">
        <v>106</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Recursos especiales</v>
      </c>
      <c r="C563" s="85" t="str" cm="1">
        <f t="array" ref="C563">IFERROR(INDEX('03.Muestra'!$F$8:$F$42,SMALL(IF("Página Web"='03.Muestra'!$D$8:$D$42,ROW('03.Muestra'!$F$8:$F$42)-MIN(ROW('03.Muestra'!$D$8:$D$42))+1,""),ROW()-550)),"")</f>
        <v>https://www.comunidad.madrid/tacp/novedades/publicacion-recursos-especiales-en-perfil-contratante</v>
      </c>
      <c r="D563" s="99" t="s">
        <v>106</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Normativa</v>
      </c>
      <c r="C564" s="85" t="str" cm="1">
        <f t="array" ref="C564">IFERROR(INDEX('03.Muestra'!$F$8:$F$42,SMALL(IF("Página Web"='03.Muestra'!$D$8:$D$42,ROW('03.Muestra'!$F$8:$F$42)-MIN(ROW('03.Muestra'!$D$8:$D$42))+1,""),ROW()-550)),"")</f>
        <v>https://www.comunidad.madrid/es/tacp/normativa</v>
      </c>
      <c r="D564" s="99" t="s">
        <v>106</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Organos Competentes</v>
      </c>
      <c r="C565" s="85" t="str" cm="1">
        <f t="array" ref="C565">IFERROR(INDEX('03.Muestra'!$F$8:$F$42,SMALL(IF("Página Web"='03.Muestra'!$D$8:$D$42,ROW('03.Muestra'!$F$8:$F$42)-MIN(ROW('03.Muestra'!$D$8:$D$42))+1,""),ROW()-550)),"")</f>
        <v>https://www.comunidad.madrid/es/tacp/otros-organos-competentes</v>
      </c>
      <c r="D565" s="99" t="s">
        <v>106</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https://www.comunidad.madrid/es/tacp/contact</v>
      </c>
      <c r="D566" s="99" t="s">
        <v>106</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Accesibilidad</v>
      </c>
      <c r="C567" s="85" t="str" cm="1">
        <f t="array" ref="C567">IFERROR(INDEX('03.Muestra'!$F$8:$F$42,SMALL(IF("Página Web"='03.Muestra'!$D$8:$D$42,ROW('03.Muestra'!$F$8:$F$42)-MIN(ROW('03.Muestra'!$D$8:$D$42))+1,""),ROW()-550)),"")</f>
        <v>https://www.comunidad.madrid/es/tacp/accesibilidad</v>
      </c>
      <c r="D567" s="99" t="s">
        <v>106</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ref="D568:D585" si="29">IF(AND(B568&lt;&gt;"",C568&lt;&gt;""),"N/T","")</f>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101</v>
      </c>
      <c r="B588" s="23" t="s">
        <v>93</v>
      </c>
      <c r="C588" s="24" t="s">
        <v>129</v>
      </c>
      <c r="D588" s="25" t="s">
        <v>103</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https://www.comunidad.madrid/tacp/</v>
      </c>
      <c r="D589" s="99" t="s">
        <v>106</v>
      </c>
      <c r="E589" s="79" t="str">
        <f t="shared" ref="E589:E623" si="30">IF(D589&lt;&gt;"",IF(AND(B589&lt;&gt;"",C589&lt;&gt;""),"","ERR"),"")</f>
        <v/>
      </c>
      <c r="F589" s="86" t="s">
        <v>104</v>
      </c>
      <c r="G589" s="87" t="s">
        <v>105</v>
      </c>
      <c r="H589" s="88" t="s">
        <v>106</v>
      </c>
      <c r="I589" s="89" t="s">
        <v>96</v>
      </c>
      <c r="J589" s="90" t="s">
        <v>94</v>
      </c>
      <c r="K589" s="181"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Carta del presidente</v>
      </c>
      <c r="C590" s="85" t="str" cm="1">
        <f t="array" ref="C590">IFERROR(INDEX('03.Muestra'!$F$8:$F$42,SMALL(IF("Página Web"='03.Muestra'!$D$8:$D$42,ROW('03.Muestra'!$F$8:$F$42)-MIN(ROW('03.Muestra'!$D$8:$D$42))+1,""),ROW()-588)),"")</f>
        <v>https://www.comunidad.madrid/tacp/carta-del-presidente</v>
      </c>
      <c r="D590" s="99" t="s">
        <v>106</v>
      </c>
      <c r="E590" s="79" t="str">
        <f t="shared" si="30"/>
        <v/>
      </c>
      <c r="F590" s="91">
        <f ca="1">COUNTIF($D589:INDIRECT("$D" &amp;  SUM(ROW()-1,'03.Muestra'!$D$45)-1),F589)</f>
        <v>0</v>
      </c>
      <c r="G590" s="91">
        <f ca="1">COUNTIF($D589:INDIRECT("$D" &amp;  SUM(ROW()-1,'03.Muestra'!$D$45)-1),G589)</f>
        <v>0</v>
      </c>
      <c r="H590" s="91">
        <f ca="1">COUNTIF($D589:INDIRECT("$D" &amp;  SUM(ROW()-1,'03.Muestra'!$D$45)-1),H589)</f>
        <v>17</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Organización</v>
      </c>
      <c r="C591" s="85" t="str" cm="1">
        <f t="array" ref="C591">IFERROR(INDEX('03.Muestra'!$F$8:$F$42,SMALL(IF("Página Web"='03.Muestra'!$D$8:$D$42,ROW('03.Muestra'!$F$8:$F$42)-MIN(ROW('03.Muestra'!$D$8:$D$42))+1,""),ROW()-588)),"")</f>
        <v>https://www.comunidad.madrid/tacp/el-tribunal/organización</v>
      </c>
      <c r="D591" s="99" t="s">
        <v>106</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Acuerdos</v>
      </c>
      <c r="C592" s="85" t="str" cm="1">
        <f t="array" ref="C592">IFERROR(INDEX('03.Muestra'!$F$8:$F$42,SMALL(IF("Página Web"='03.Muestra'!$D$8:$D$42,ROW('03.Muestra'!$F$8:$F$42)-MIN(ROW('03.Muestra'!$D$8:$D$42))+1,""),ROW()-588)),"")</f>
        <v>https://www.comunidad.madrid/tacp/el-tribunal/acuerdos-del-tacp</v>
      </c>
      <c r="D592" s="99" t="s">
        <v>106</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Presentacion</v>
      </c>
      <c r="C593" s="85" t="str" cm="1">
        <f t="array" ref="C593">IFERROR(INDEX('03.Muestra'!$F$8:$F$42,SMALL(IF("Página Web"='03.Muestra'!$D$8:$D$42,ROW('03.Muestra'!$F$8:$F$42)-MIN(ROW('03.Muestra'!$D$8:$D$42))+1,""),ROW()-588)),"")</f>
        <v>https://www.comunidad.madrid/tacp/el-tribunal/presentacion-electronica-e-impresos-normalizados</v>
      </c>
      <c r="D593" s="99" t="s">
        <v>106</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Guia</v>
      </c>
      <c r="C594" s="85" t="str" cm="1">
        <f t="array" ref="C594">IFERROR(INDEX('03.Muestra'!$F$8:$F$42,SMALL(IF("Página Web"='03.Muestra'!$D$8:$D$42,ROW('03.Muestra'!$F$8:$F$42)-MIN(ROW('03.Muestra'!$D$8:$D$42))+1,""),ROW()-588)),"")</f>
        <v>https://www.comunidad.madrid/tacp/el-tribunal/guia-informativa-sobre-la-regulacion-del-tribunal-de-contratacion-publica-y-los</v>
      </c>
      <c r="D594" s="99" t="s">
        <v>106</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Preguntas</v>
      </c>
      <c r="C595" s="85" t="str" cm="1">
        <f t="array" ref="C595">IFERROR(INDEX('03.Muestra'!$F$8:$F$42,SMALL(IF("Página Web"='03.Muestra'!$D$8:$D$42,ROW('03.Muestra'!$F$8:$F$42)-MIN(ROW('03.Muestra'!$D$8:$D$42))+1,""),ROW()-588)),"")</f>
        <v>https://www.comunidad.madrid/tacp/faq-page</v>
      </c>
      <c r="D595" s="99" t="s">
        <v>106</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Histórico</v>
      </c>
      <c r="C596" s="85" t="str" cm="1">
        <f t="array" ref="C596">IFERROR(INDEX('03.Muestra'!$F$8:$F$42,SMALL(IF("Página Web"='03.Muestra'!$D$8:$D$42,ROW('03.Muestra'!$F$8:$F$42)-MIN(ROW('03.Muestra'!$D$8:$D$42))+1,""),ROW()-588)),"")</f>
        <v>https://www.comunidad.madrid/tacp/el-tribunal/historico-resoluciones-de-las-reclamaciones-de-acceso-informacion-publica</v>
      </c>
      <c r="D596" s="99" t="s">
        <v>106</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Estudios</v>
      </c>
      <c r="C597" s="85" t="str" cm="1">
        <f t="array" ref="C597">IFERROR(INDEX('03.Muestra'!$F$8:$F$42,SMALL(IF("Página Web"='03.Muestra'!$D$8:$D$42,ROW('03.Muestra'!$F$8:$F$42)-MIN(ROW('03.Muestra'!$D$8:$D$42))+1,""),ROW()-588)),"")</f>
        <v>https://www.comunidad.madrid/tacp/estudios</v>
      </c>
      <c r="D597" s="99" t="s">
        <v>106</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Memorias</v>
      </c>
      <c r="C598" s="85" t="str" cm="1">
        <f t="array" ref="C598">IFERROR(INDEX('03.Muestra'!$F$8:$F$42,SMALL(IF("Página Web"='03.Muestra'!$D$8:$D$42,ROW('03.Muestra'!$F$8:$F$42)-MIN(ROW('03.Muestra'!$D$8:$D$42))+1,""),ROW()-588)),"")</f>
        <v>https://www.comunidad.madrid/tacp/memorias</v>
      </c>
      <c r="D598" s="99" t="s">
        <v>106</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Busqueda Resol</v>
      </c>
      <c r="C599" s="85" t="str" cm="1">
        <f t="array" ref="C599">IFERROR(INDEX('03.Muestra'!$F$8:$F$42,SMALL(IF("Página Web"='03.Muestra'!$D$8:$D$42,ROW('03.Muestra'!$F$8:$F$42)-MIN(ROW('03.Muestra'!$D$8:$D$42))+1,""),ROW()-588)),"")</f>
        <v>https://www.comunidad.madrid/tacp/busquedaresoluciones</v>
      </c>
      <c r="D599" s="99" t="s">
        <v>106</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Novedades</v>
      </c>
      <c r="C600" s="85" t="str" cm="1">
        <f t="array" ref="C600">IFERROR(INDEX('03.Muestra'!$F$8:$F$42,SMALL(IF("Página Web"='03.Muestra'!$D$8:$D$42,ROW('03.Muestra'!$F$8:$F$42)-MIN(ROW('03.Muestra'!$D$8:$D$42))+1,""),ROW()-588)),"")</f>
        <v>https://www.comunidad.madrid/tacp/noticias</v>
      </c>
      <c r="D600" s="99" t="s">
        <v>106</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Recursos especiales</v>
      </c>
      <c r="C601" s="85" t="str" cm="1">
        <f t="array" ref="C601">IFERROR(INDEX('03.Muestra'!$F$8:$F$42,SMALL(IF("Página Web"='03.Muestra'!$D$8:$D$42,ROW('03.Muestra'!$F$8:$F$42)-MIN(ROW('03.Muestra'!$D$8:$D$42))+1,""),ROW()-588)),"")</f>
        <v>https://www.comunidad.madrid/tacp/novedades/publicacion-recursos-especiales-en-perfil-contratante</v>
      </c>
      <c r="D601" s="99" t="s">
        <v>106</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Normativa</v>
      </c>
      <c r="C602" s="85" t="str" cm="1">
        <f t="array" ref="C602">IFERROR(INDEX('03.Muestra'!$F$8:$F$42,SMALL(IF("Página Web"='03.Muestra'!$D$8:$D$42,ROW('03.Muestra'!$F$8:$F$42)-MIN(ROW('03.Muestra'!$D$8:$D$42))+1,""),ROW()-588)),"")</f>
        <v>https://www.comunidad.madrid/es/tacp/normativa</v>
      </c>
      <c r="D602" s="99" t="s">
        <v>106</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Organos Competentes</v>
      </c>
      <c r="C603" s="85" t="str" cm="1">
        <f t="array" ref="C603">IFERROR(INDEX('03.Muestra'!$F$8:$F$42,SMALL(IF("Página Web"='03.Muestra'!$D$8:$D$42,ROW('03.Muestra'!$F$8:$F$42)-MIN(ROW('03.Muestra'!$D$8:$D$42))+1,""),ROW()-588)),"")</f>
        <v>https://www.comunidad.madrid/es/tacp/otros-organos-competentes</v>
      </c>
      <c r="D603" s="99" t="s">
        <v>106</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https://www.comunidad.madrid/es/tacp/contact</v>
      </c>
      <c r="D604" s="99" t="s">
        <v>106</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Accesibilidad</v>
      </c>
      <c r="C605" s="85" t="str" cm="1">
        <f t="array" ref="C605">IFERROR(INDEX('03.Muestra'!$F$8:$F$42,SMALL(IF("Página Web"='03.Muestra'!$D$8:$D$42,ROW('03.Muestra'!$F$8:$F$42)-MIN(ROW('03.Muestra'!$D$8:$D$42))+1,""),ROW()-588)),"")</f>
        <v>https://www.comunidad.madrid/es/tacp/accesibilidad</v>
      </c>
      <c r="D605" s="99" t="s">
        <v>106</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ref="D606:D623" si="31">IF(AND(B606&lt;&gt;"",C606&lt;&gt;""),"N/T","")</f>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101</v>
      </c>
      <c r="B626" s="23" t="s">
        <v>93</v>
      </c>
      <c r="C626" s="24" t="s">
        <v>130</v>
      </c>
      <c r="D626" s="25" t="s">
        <v>103</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https://www.comunidad.madrid/tacp/</v>
      </c>
      <c r="D627" s="99" t="s">
        <v>106</v>
      </c>
      <c r="E627" s="79" t="str">
        <f t="shared" ref="E627:E661" si="32">IF(D627&lt;&gt;"",IF(AND(B627&lt;&gt;"",C627&lt;&gt;""),"","ERR"),"")</f>
        <v/>
      </c>
      <c r="F627" s="86" t="s">
        <v>104</v>
      </c>
      <c r="G627" s="87" t="s">
        <v>105</v>
      </c>
      <c r="H627" s="88" t="s">
        <v>106</v>
      </c>
      <c r="I627" s="89" t="s">
        <v>96</v>
      </c>
      <c r="J627" s="90" t="s">
        <v>94</v>
      </c>
      <c r="K627" s="181"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Carta del presidente</v>
      </c>
      <c r="C628" s="85" t="str" cm="1">
        <f t="array" ref="C628">IFERROR(INDEX('03.Muestra'!$F$8:$F$42,SMALL(IF("Página Web"='03.Muestra'!$D$8:$D$42,ROW('03.Muestra'!$F$8:$F$42)-MIN(ROW('03.Muestra'!$D$8:$D$42))+1,""),ROW()-626)),"")</f>
        <v>https://www.comunidad.madrid/tacp/carta-del-presidente</v>
      </c>
      <c r="D628" s="99" t="s">
        <v>106</v>
      </c>
      <c r="E628" s="79" t="str">
        <f t="shared" si="32"/>
        <v/>
      </c>
      <c r="F628" s="91">
        <f ca="1">COUNTIF($D627:INDIRECT("$D" &amp;  SUM(ROW()-1,'03.Muestra'!$D$45)-1),F627)</f>
        <v>0</v>
      </c>
      <c r="G628" s="91">
        <f ca="1">COUNTIF($D627:INDIRECT("$D" &amp;  SUM(ROW()-1,'03.Muestra'!$D$45)-1),G627)</f>
        <v>0</v>
      </c>
      <c r="H628" s="91">
        <f ca="1">COUNTIF($D627:INDIRECT("$D" &amp;  SUM(ROW()-1,'03.Muestra'!$D$45)-1),H627)</f>
        <v>17</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Organización</v>
      </c>
      <c r="C629" s="85" t="str" cm="1">
        <f t="array" ref="C629">IFERROR(INDEX('03.Muestra'!$F$8:$F$42,SMALL(IF("Página Web"='03.Muestra'!$D$8:$D$42,ROW('03.Muestra'!$F$8:$F$42)-MIN(ROW('03.Muestra'!$D$8:$D$42))+1,""),ROW()-626)),"")</f>
        <v>https://www.comunidad.madrid/tacp/el-tribunal/organización</v>
      </c>
      <c r="D629" s="99" t="s">
        <v>106</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Acuerdos</v>
      </c>
      <c r="C630" s="85" t="str" cm="1">
        <f t="array" ref="C630">IFERROR(INDEX('03.Muestra'!$F$8:$F$42,SMALL(IF("Página Web"='03.Muestra'!$D$8:$D$42,ROW('03.Muestra'!$F$8:$F$42)-MIN(ROW('03.Muestra'!$D$8:$D$42))+1,""),ROW()-626)),"")</f>
        <v>https://www.comunidad.madrid/tacp/el-tribunal/acuerdos-del-tacp</v>
      </c>
      <c r="D630" s="99" t="s">
        <v>106</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Presentacion</v>
      </c>
      <c r="C631" s="85" t="str" cm="1">
        <f t="array" ref="C631">IFERROR(INDEX('03.Muestra'!$F$8:$F$42,SMALL(IF("Página Web"='03.Muestra'!$D$8:$D$42,ROW('03.Muestra'!$F$8:$F$42)-MIN(ROW('03.Muestra'!$D$8:$D$42))+1,""),ROW()-626)),"")</f>
        <v>https://www.comunidad.madrid/tacp/el-tribunal/presentacion-electronica-e-impresos-normalizados</v>
      </c>
      <c r="D631" s="99" t="s">
        <v>106</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Guia</v>
      </c>
      <c r="C632" s="85" t="str" cm="1">
        <f t="array" ref="C632">IFERROR(INDEX('03.Muestra'!$F$8:$F$42,SMALL(IF("Página Web"='03.Muestra'!$D$8:$D$42,ROW('03.Muestra'!$F$8:$F$42)-MIN(ROW('03.Muestra'!$D$8:$D$42))+1,""),ROW()-626)),"")</f>
        <v>https://www.comunidad.madrid/tacp/el-tribunal/guia-informativa-sobre-la-regulacion-del-tribunal-de-contratacion-publica-y-los</v>
      </c>
      <c r="D632" s="99" t="s">
        <v>106</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Preguntas</v>
      </c>
      <c r="C633" s="85" t="str" cm="1">
        <f t="array" ref="C633">IFERROR(INDEX('03.Muestra'!$F$8:$F$42,SMALL(IF("Página Web"='03.Muestra'!$D$8:$D$42,ROW('03.Muestra'!$F$8:$F$42)-MIN(ROW('03.Muestra'!$D$8:$D$42))+1,""),ROW()-626)),"")</f>
        <v>https://www.comunidad.madrid/tacp/faq-page</v>
      </c>
      <c r="D633" s="99" t="s">
        <v>106</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Histórico</v>
      </c>
      <c r="C634" s="85" t="str" cm="1">
        <f t="array" ref="C634">IFERROR(INDEX('03.Muestra'!$F$8:$F$42,SMALL(IF("Página Web"='03.Muestra'!$D$8:$D$42,ROW('03.Muestra'!$F$8:$F$42)-MIN(ROW('03.Muestra'!$D$8:$D$42))+1,""),ROW()-626)),"")</f>
        <v>https://www.comunidad.madrid/tacp/el-tribunal/historico-resoluciones-de-las-reclamaciones-de-acceso-informacion-publica</v>
      </c>
      <c r="D634" s="99" t="s">
        <v>106</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Estudios</v>
      </c>
      <c r="C635" s="85" t="str" cm="1">
        <f t="array" ref="C635">IFERROR(INDEX('03.Muestra'!$F$8:$F$42,SMALL(IF("Página Web"='03.Muestra'!$D$8:$D$42,ROW('03.Muestra'!$F$8:$F$42)-MIN(ROW('03.Muestra'!$D$8:$D$42))+1,""),ROW()-626)),"")</f>
        <v>https://www.comunidad.madrid/tacp/estudios</v>
      </c>
      <c r="D635" s="99" t="s">
        <v>106</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Memorias</v>
      </c>
      <c r="C636" s="85" t="str" cm="1">
        <f t="array" ref="C636">IFERROR(INDEX('03.Muestra'!$F$8:$F$42,SMALL(IF("Página Web"='03.Muestra'!$D$8:$D$42,ROW('03.Muestra'!$F$8:$F$42)-MIN(ROW('03.Muestra'!$D$8:$D$42))+1,""),ROW()-626)),"")</f>
        <v>https://www.comunidad.madrid/tacp/memorias</v>
      </c>
      <c r="D636" s="99" t="s">
        <v>106</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Busqueda Resol</v>
      </c>
      <c r="C637" s="85" t="str" cm="1">
        <f t="array" ref="C637">IFERROR(INDEX('03.Muestra'!$F$8:$F$42,SMALL(IF("Página Web"='03.Muestra'!$D$8:$D$42,ROW('03.Muestra'!$F$8:$F$42)-MIN(ROW('03.Muestra'!$D$8:$D$42))+1,""),ROW()-626)),"")</f>
        <v>https://www.comunidad.madrid/tacp/busquedaresoluciones</v>
      </c>
      <c r="D637" s="99" t="s">
        <v>106</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Novedades</v>
      </c>
      <c r="C638" s="85" t="str" cm="1">
        <f t="array" ref="C638">IFERROR(INDEX('03.Muestra'!$F$8:$F$42,SMALL(IF("Página Web"='03.Muestra'!$D$8:$D$42,ROW('03.Muestra'!$F$8:$F$42)-MIN(ROW('03.Muestra'!$D$8:$D$42))+1,""),ROW()-626)),"")</f>
        <v>https://www.comunidad.madrid/tacp/noticias</v>
      </c>
      <c r="D638" s="99" t="s">
        <v>106</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Recursos especiales</v>
      </c>
      <c r="C639" s="85" t="str" cm="1">
        <f t="array" ref="C639">IFERROR(INDEX('03.Muestra'!$F$8:$F$42,SMALL(IF("Página Web"='03.Muestra'!$D$8:$D$42,ROW('03.Muestra'!$F$8:$F$42)-MIN(ROW('03.Muestra'!$D$8:$D$42))+1,""),ROW()-626)),"")</f>
        <v>https://www.comunidad.madrid/tacp/novedades/publicacion-recursos-especiales-en-perfil-contratante</v>
      </c>
      <c r="D639" s="99" t="s">
        <v>106</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Normativa</v>
      </c>
      <c r="C640" s="85" t="str" cm="1">
        <f t="array" ref="C640">IFERROR(INDEX('03.Muestra'!$F$8:$F$42,SMALL(IF("Página Web"='03.Muestra'!$D$8:$D$42,ROW('03.Muestra'!$F$8:$F$42)-MIN(ROW('03.Muestra'!$D$8:$D$42))+1,""),ROW()-626)),"")</f>
        <v>https://www.comunidad.madrid/es/tacp/normativa</v>
      </c>
      <c r="D640" s="99" t="s">
        <v>106</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Organos Competentes</v>
      </c>
      <c r="C641" s="85" t="str" cm="1">
        <f t="array" ref="C641">IFERROR(INDEX('03.Muestra'!$F$8:$F$42,SMALL(IF("Página Web"='03.Muestra'!$D$8:$D$42,ROW('03.Muestra'!$F$8:$F$42)-MIN(ROW('03.Muestra'!$D$8:$D$42))+1,""),ROW()-626)),"")</f>
        <v>https://www.comunidad.madrid/es/tacp/otros-organos-competentes</v>
      </c>
      <c r="D641" s="99" t="s">
        <v>106</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https://www.comunidad.madrid/es/tacp/contact</v>
      </c>
      <c r="D642" s="99" t="s">
        <v>106</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Accesibilidad</v>
      </c>
      <c r="C643" s="85" t="str" cm="1">
        <f t="array" ref="C643">IFERROR(INDEX('03.Muestra'!$F$8:$F$42,SMALL(IF("Página Web"='03.Muestra'!$D$8:$D$42,ROW('03.Muestra'!$F$8:$F$42)-MIN(ROW('03.Muestra'!$D$8:$D$42))+1,""),ROW()-626)),"")</f>
        <v>https://www.comunidad.madrid/es/tacp/accesibilidad</v>
      </c>
      <c r="D643" s="99" t="s">
        <v>106</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ref="D644:D661" si="33">IF(AND(B644&lt;&gt;"",C644&lt;&gt;""),"N/T","")</f>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101</v>
      </c>
      <c r="B664" s="23" t="s">
        <v>93</v>
      </c>
      <c r="C664" s="172" t="s">
        <v>131</v>
      </c>
      <c r="D664" s="25" t="s">
        <v>103</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https://www.comunidad.madrid/tacp/</v>
      </c>
      <c r="D665" s="99" t="s">
        <v>106</v>
      </c>
      <c r="E665" s="79" t="str">
        <f t="shared" ref="E665:E699" si="34">IF(D665&lt;&gt;"",IF(AND(B665&lt;&gt;"",C665&lt;&gt;""),"","ERR"),"")</f>
        <v/>
      </c>
      <c r="F665" s="86" t="s">
        <v>104</v>
      </c>
      <c r="G665" s="87" t="s">
        <v>105</v>
      </c>
      <c r="H665" s="88" t="s">
        <v>106</v>
      </c>
      <c r="I665" s="89" t="s">
        <v>96</v>
      </c>
      <c r="J665" s="90" t="s">
        <v>94</v>
      </c>
      <c r="K665" s="181"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Carta del presidente</v>
      </c>
      <c r="C666" s="85" t="str" cm="1">
        <f t="array" ref="C666">IFERROR(INDEX('03.Muestra'!$F$8:$F$42,SMALL(IF("Página Web"='03.Muestra'!$D$8:$D$42,ROW('03.Muestra'!$F$8:$F$42)-MIN(ROW('03.Muestra'!$D$8:$D$42))+1,""),ROW()-664)),"")</f>
        <v>https://www.comunidad.madrid/tacp/carta-del-presidente</v>
      </c>
      <c r="D666" s="99" t="s">
        <v>106</v>
      </c>
      <c r="E666" s="79" t="str">
        <f t="shared" si="34"/>
        <v/>
      </c>
      <c r="F666" s="91">
        <f ca="1">COUNTIF($D665:INDIRECT("$D" &amp;  SUM(ROW()-1,'03.Muestra'!$D$45)-1),F665)</f>
        <v>0</v>
      </c>
      <c r="G666" s="91">
        <f ca="1">COUNTIF($D665:INDIRECT("$D" &amp;  SUM(ROW()-1,'03.Muestra'!$D$45)-1),G665)</f>
        <v>0</v>
      </c>
      <c r="H666" s="91">
        <f ca="1">COUNTIF($D665:INDIRECT("$D" &amp;  SUM(ROW()-1,'03.Muestra'!$D$45)-1),H665)</f>
        <v>17</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Organización</v>
      </c>
      <c r="C667" s="85" t="str" cm="1">
        <f t="array" ref="C667">IFERROR(INDEX('03.Muestra'!$F$8:$F$42,SMALL(IF("Página Web"='03.Muestra'!$D$8:$D$42,ROW('03.Muestra'!$F$8:$F$42)-MIN(ROW('03.Muestra'!$D$8:$D$42))+1,""),ROW()-664)),"")</f>
        <v>https://www.comunidad.madrid/tacp/el-tribunal/organización</v>
      </c>
      <c r="D667" s="99" t="s">
        <v>106</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Acuerdos</v>
      </c>
      <c r="C668" s="85" t="str" cm="1">
        <f t="array" ref="C668">IFERROR(INDEX('03.Muestra'!$F$8:$F$42,SMALL(IF("Página Web"='03.Muestra'!$D$8:$D$42,ROW('03.Muestra'!$F$8:$F$42)-MIN(ROW('03.Muestra'!$D$8:$D$42))+1,""),ROW()-664)),"")</f>
        <v>https://www.comunidad.madrid/tacp/el-tribunal/acuerdos-del-tacp</v>
      </c>
      <c r="D668" s="99" t="s">
        <v>106</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Presentacion</v>
      </c>
      <c r="C669" s="85" t="str" cm="1">
        <f t="array" ref="C669">IFERROR(INDEX('03.Muestra'!$F$8:$F$42,SMALL(IF("Página Web"='03.Muestra'!$D$8:$D$42,ROW('03.Muestra'!$F$8:$F$42)-MIN(ROW('03.Muestra'!$D$8:$D$42))+1,""),ROW()-664)),"")</f>
        <v>https://www.comunidad.madrid/tacp/el-tribunal/presentacion-electronica-e-impresos-normalizados</v>
      </c>
      <c r="D669" s="99" t="s">
        <v>106</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Guia</v>
      </c>
      <c r="C670" s="85" t="str" cm="1">
        <f t="array" ref="C670">IFERROR(INDEX('03.Muestra'!$F$8:$F$42,SMALL(IF("Página Web"='03.Muestra'!$D$8:$D$42,ROW('03.Muestra'!$F$8:$F$42)-MIN(ROW('03.Muestra'!$D$8:$D$42))+1,""),ROW()-664)),"")</f>
        <v>https://www.comunidad.madrid/tacp/el-tribunal/guia-informativa-sobre-la-regulacion-del-tribunal-de-contratacion-publica-y-los</v>
      </c>
      <c r="D670" s="99" t="s">
        <v>106</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Preguntas</v>
      </c>
      <c r="C671" s="85" t="str" cm="1">
        <f t="array" ref="C671">IFERROR(INDEX('03.Muestra'!$F$8:$F$42,SMALL(IF("Página Web"='03.Muestra'!$D$8:$D$42,ROW('03.Muestra'!$F$8:$F$42)-MIN(ROW('03.Muestra'!$D$8:$D$42))+1,""),ROW()-664)),"")</f>
        <v>https://www.comunidad.madrid/tacp/faq-page</v>
      </c>
      <c r="D671" s="99" t="s">
        <v>106</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Histórico</v>
      </c>
      <c r="C672" s="85" t="str" cm="1">
        <f t="array" ref="C672">IFERROR(INDEX('03.Muestra'!$F$8:$F$42,SMALL(IF("Página Web"='03.Muestra'!$D$8:$D$42,ROW('03.Muestra'!$F$8:$F$42)-MIN(ROW('03.Muestra'!$D$8:$D$42))+1,""),ROW()-664)),"")</f>
        <v>https://www.comunidad.madrid/tacp/el-tribunal/historico-resoluciones-de-las-reclamaciones-de-acceso-informacion-publica</v>
      </c>
      <c r="D672" s="99" t="s">
        <v>106</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Estudios</v>
      </c>
      <c r="C673" s="85" t="str" cm="1">
        <f t="array" ref="C673">IFERROR(INDEX('03.Muestra'!$F$8:$F$42,SMALL(IF("Página Web"='03.Muestra'!$D$8:$D$42,ROW('03.Muestra'!$F$8:$F$42)-MIN(ROW('03.Muestra'!$D$8:$D$42))+1,""),ROW()-664)),"")</f>
        <v>https://www.comunidad.madrid/tacp/estudios</v>
      </c>
      <c r="D673" s="99" t="s">
        <v>106</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Memorias</v>
      </c>
      <c r="C674" s="85" t="str" cm="1">
        <f t="array" ref="C674">IFERROR(INDEX('03.Muestra'!$F$8:$F$42,SMALL(IF("Página Web"='03.Muestra'!$D$8:$D$42,ROW('03.Muestra'!$F$8:$F$42)-MIN(ROW('03.Muestra'!$D$8:$D$42))+1,""),ROW()-664)),"")</f>
        <v>https://www.comunidad.madrid/tacp/memorias</v>
      </c>
      <c r="D674" s="99" t="s">
        <v>106</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Busqueda Resol</v>
      </c>
      <c r="C675" s="85" t="str" cm="1">
        <f t="array" ref="C675">IFERROR(INDEX('03.Muestra'!$F$8:$F$42,SMALL(IF("Página Web"='03.Muestra'!$D$8:$D$42,ROW('03.Muestra'!$F$8:$F$42)-MIN(ROW('03.Muestra'!$D$8:$D$42))+1,""),ROW()-664)),"")</f>
        <v>https://www.comunidad.madrid/tacp/busquedaresoluciones</v>
      </c>
      <c r="D675" s="99" t="s">
        <v>106</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Novedades</v>
      </c>
      <c r="C676" s="85" t="str" cm="1">
        <f t="array" ref="C676">IFERROR(INDEX('03.Muestra'!$F$8:$F$42,SMALL(IF("Página Web"='03.Muestra'!$D$8:$D$42,ROW('03.Muestra'!$F$8:$F$42)-MIN(ROW('03.Muestra'!$D$8:$D$42))+1,""),ROW()-664)),"")</f>
        <v>https://www.comunidad.madrid/tacp/noticias</v>
      </c>
      <c r="D676" s="99" t="s">
        <v>106</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Recursos especiales</v>
      </c>
      <c r="C677" s="85" t="str" cm="1">
        <f t="array" ref="C677">IFERROR(INDEX('03.Muestra'!$F$8:$F$42,SMALL(IF("Página Web"='03.Muestra'!$D$8:$D$42,ROW('03.Muestra'!$F$8:$F$42)-MIN(ROW('03.Muestra'!$D$8:$D$42))+1,""),ROW()-664)),"")</f>
        <v>https://www.comunidad.madrid/tacp/novedades/publicacion-recursos-especiales-en-perfil-contratante</v>
      </c>
      <c r="D677" s="99" t="s">
        <v>106</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Normativa</v>
      </c>
      <c r="C678" s="85" t="str" cm="1">
        <f t="array" ref="C678">IFERROR(INDEX('03.Muestra'!$F$8:$F$42,SMALL(IF("Página Web"='03.Muestra'!$D$8:$D$42,ROW('03.Muestra'!$F$8:$F$42)-MIN(ROW('03.Muestra'!$D$8:$D$42))+1,""),ROW()-664)),"")</f>
        <v>https://www.comunidad.madrid/es/tacp/normativa</v>
      </c>
      <c r="D678" s="99" t="s">
        <v>106</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Organos Competentes</v>
      </c>
      <c r="C679" s="85" t="str" cm="1">
        <f t="array" ref="C679">IFERROR(INDEX('03.Muestra'!$F$8:$F$42,SMALL(IF("Página Web"='03.Muestra'!$D$8:$D$42,ROW('03.Muestra'!$F$8:$F$42)-MIN(ROW('03.Muestra'!$D$8:$D$42))+1,""),ROW()-664)),"")</f>
        <v>https://www.comunidad.madrid/es/tacp/otros-organos-competentes</v>
      </c>
      <c r="D679" s="99" t="s">
        <v>106</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https://www.comunidad.madrid/es/tacp/contact</v>
      </c>
      <c r="D680" s="99" t="s">
        <v>106</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Accesibilidad</v>
      </c>
      <c r="C681" s="85" t="str" cm="1">
        <f t="array" ref="C681">IFERROR(INDEX('03.Muestra'!$F$8:$F$42,SMALL(IF("Página Web"='03.Muestra'!$D$8:$D$42,ROW('03.Muestra'!$F$8:$F$42)-MIN(ROW('03.Muestra'!$D$8:$D$42))+1,""),ROW()-664)),"")</f>
        <v>https://www.comunidad.madrid/es/tacp/accesibilidad</v>
      </c>
      <c r="D681" s="99" t="s">
        <v>106</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ref="D682:D699" si="35">IF(AND(B682&lt;&gt;"",C682&lt;&gt;""),"N/T","")</f>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101</v>
      </c>
      <c r="B702" s="23" t="s">
        <v>93</v>
      </c>
      <c r="C702" s="172" t="s">
        <v>132</v>
      </c>
      <c r="D702" s="25" t="s">
        <v>103</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https://www.comunidad.madrid/tacp/</v>
      </c>
      <c r="D703" s="99" t="s">
        <v>106</v>
      </c>
      <c r="E703" s="79" t="str">
        <f t="shared" ref="E703:E737" si="36">IF(D703&lt;&gt;"",IF(AND(B703&lt;&gt;"",C703&lt;&gt;""),"","ERR"),"")</f>
        <v/>
      </c>
      <c r="F703" s="86" t="s">
        <v>104</v>
      </c>
      <c r="G703" s="87" t="s">
        <v>105</v>
      </c>
      <c r="H703" s="88" t="s">
        <v>106</v>
      </c>
      <c r="I703" s="89" t="s">
        <v>96</v>
      </c>
      <c r="J703" s="90" t="s">
        <v>94</v>
      </c>
      <c r="K703" s="181"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Carta del presidente</v>
      </c>
      <c r="C704" s="85" t="str" cm="1">
        <f t="array" ref="C704">IFERROR(INDEX('03.Muestra'!$F$8:$F$42,SMALL(IF("Página Web"='03.Muestra'!$D$8:$D$42,ROW('03.Muestra'!$F$8:$F$42)-MIN(ROW('03.Muestra'!$D$8:$D$42))+1,""),ROW()-702)),"")</f>
        <v>https://www.comunidad.madrid/tacp/carta-del-presidente</v>
      </c>
      <c r="D704" s="99" t="s">
        <v>106</v>
      </c>
      <c r="E704" s="79" t="str">
        <f t="shared" si="36"/>
        <v/>
      </c>
      <c r="F704" s="91">
        <f ca="1">COUNTIF($D703:INDIRECT("$D" &amp;  SUM(ROW()-1,'03.Muestra'!$D$45)-1),F703)</f>
        <v>0</v>
      </c>
      <c r="G704" s="91">
        <f ca="1">COUNTIF($D703:INDIRECT("$D" &amp;  SUM(ROW()-1,'03.Muestra'!$D$45)-1),G703)</f>
        <v>0</v>
      </c>
      <c r="H704" s="91">
        <f ca="1">COUNTIF($D703:INDIRECT("$D" &amp;  SUM(ROW()-1,'03.Muestra'!$D$45)-1),H703)</f>
        <v>17</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Organización</v>
      </c>
      <c r="C705" s="85" t="str" cm="1">
        <f t="array" ref="C705">IFERROR(INDEX('03.Muestra'!$F$8:$F$42,SMALL(IF("Página Web"='03.Muestra'!$D$8:$D$42,ROW('03.Muestra'!$F$8:$F$42)-MIN(ROW('03.Muestra'!$D$8:$D$42))+1,""),ROW()-702)),"")</f>
        <v>https://www.comunidad.madrid/tacp/el-tribunal/organización</v>
      </c>
      <c r="D705" s="99" t="s">
        <v>106</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Acuerdos</v>
      </c>
      <c r="C706" s="85" t="str" cm="1">
        <f t="array" ref="C706">IFERROR(INDEX('03.Muestra'!$F$8:$F$42,SMALL(IF("Página Web"='03.Muestra'!$D$8:$D$42,ROW('03.Muestra'!$F$8:$F$42)-MIN(ROW('03.Muestra'!$D$8:$D$42))+1,""),ROW()-702)),"")</f>
        <v>https://www.comunidad.madrid/tacp/el-tribunal/acuerdos-del-tacp</v>
      </c>
      <c r="D706" s="99" t="s">
        <v>106</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Presentacion</v>
      </c>
      <c r="C707" s="85" t="str" cm="1">
        <f t="array" ref="C707">IFERROR(INDEX('03.Muestra'!$F$8:$F$42,SMALL(IF("Página Web"='03.Muestra'!$D$8:$D$42,ROW('03.Muestra'!$F$8:$F$42)-MIN(ROW('03.Muestra'!$D$8:$D$42))+1,""),ROW()-702)),"")</f>
        <v>https://www.comunidad.madrid/tacp/el-tribunal/presentacion-electronica-e-impresos-normalizados</v>
      </c>
      <c r="D707" s="99" t="s">
        <v>106</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Guia</v>
      </c>
      <c r="C708" s="85" t="str" cm="1">
        <f t="array" ref="C708">IFERROR(INDEX('03.Muestra'!$F$8:$F$42,SMALL(IF("Página Web"='03.Muestra'!$D$8:$D$42,ROW('03.Muestra'!$F$8:$F$42)-MIN(ROW('03.Muestra'!$D$8:$D$42))+1,""),ROW()-702)),"")</f>
        <v>https://www.comunidad.madrid/tacp/el-tribunal/guia-informativa-sobre-la-regulacion-del-tribunal-de-contratacion-publica-y-los</v>
      </c>
      <c r="D708" s="99" t="s">
        <v>106</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Preguntas</v>
      </c>
      <c r="C709" s="85" t="str" cm="1">
        <f t="array" ref="C709">IFERROR(INDEX('03.Muestra'!$F$8:$F$42,SMALL(IF("Página Web"='03.Muestra'!$D$8:$D$42,ROW('03.Muestra'!$F$8:$F$42)-MIN(ROW('03.Muestra'!$D$8:$D$42))+1,""),ROW()-702)),"")</f>
        <v>https://www.comunidad.madrid/tacp/faq-page</v>
      </c>
      <c r="D709" s="99" t="s">
        <v>106</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Histórico</v>
      </c>
      <c r="C710" s="85" t="str" cm="1">
        <f t="array" ref="C710">IFERROR(INDEX('03.Muestra'!$F$8:$F$42,SMALL(IF("Página Web"='03.Muestra'!$D$8:$D$42,ROW('03.Muestra'!$F$8:$F$42)-MIN(ROW('03.Muestra'!$D$8:$D$42))+1,""),ROW()-702)),"")</f>
        <v>https://www.comunidad.madrid/tacp/el-tribunal/historico-resoluciones-de-las-reclamaciones-de-acceso-informacion-publica</v>
      </c>
      <c r="D710" s="99" t="s">
        <v>106</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Estudios</v>
      </c>
      <c r="C711" s="85" t="str" cm="1">
        <f t="array" ref="C711">IFERROR(INDEX('03.Muestra'!$F$8:$F$42,SMALL(IF("Página Web"='03.Muestra'!$D$8:$D$42,ROW('03.Muestra'!$F$8:$F$42)-MIN(ROW('03.Muestra'!$D$8:$D$42))+1,""),ROW()-702)),"")</f>
        <v>https://www.comunidad.madrid/tacp/estudios</v>
      </c>
      <c r="D711" s="99" t="s">
        <v>106</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Memorias</v>
      </c>
      <c r="C712" s="85" t="str" cm="1">
        <f t="array" ref="C712">IFERROR(INDEX('03.Muestra'!$F$8:$F$42,SMALL(IF("Página Web"='03.Muestra'!$D$8:$D$42,ROW('03.Muestra'!$F$8:$F$42)-MIN(ROW('03.Muestra'!$D$8:$D$42))+1,""),ROW()-702)),"")</f>
        <v>https://www.comunidad.madrid/tacp/memorias</v>
      </c>
      <c r="D712" s="99" t="s">
        <v>106</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Busqueda Resol</v>
      </c>
      <c r="C713" s="85" t="str" cm="1">
        <f t="array" ref="C713">IFERROR(INDEX('03.Muestra'!$F$8:$F$42,SMALL(IF("Página Web"='03.Muestra'!$D$8:$D$42,ROW('03.Muestra'!$F$8:$F$42)-MIN(ROW('03.Muestra'!$D$8:$D$42))+1,""),ROW()-702)),"")</f>
        <v>https://www.comunidad.madrid/tacp/busquedaresoluciones</v>
      </c>
      <c r="D713" s="99" t="s">
        <v>106</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Novedades</v>
      </c>
      <c r="C714" s="85" t="str" cm="1">
        <f t="array" ref="C714">IFERROR(INDEX('03.Muestra'!$F$8:$F$42,SMALL(IF("Página Web"='03.Muestra'!$D$8:$D$42,ROW('03.Muestra'!$F$8:$F$42)-MIN(ROW('03.Muestra'!$D$8:$D$42))+1,""),ROW()-702)),"")</f>
        <v>https://www.comunidad.madrid/tacp/noticias</v>
      </c>
      <c r="D714" s="99" t="s">
        <v>106</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Recursos especiales</v>
      </c>
      <c r="C715" s="85" t="str" cm="1">
        <f t="array" ref="C715">IFERROR(INDEX('03.Muestra'!$F$8:$F$42,SMALL(IF("Página Web"='03.Muestra'!$D$8:$D$42,ROW('03.Muestra'!$F$8:$F$42)-MIN(ROW('03.Muestra'!$D$8:$D$42))+1,""),ROW()-702)),"")</f>
        <v>https://www.comunidad.madrid/tacp/novedades/publicacion-recursos-especiales-en-perfil-contratante</v>
      </c>
      <c r="D715" s="99" t="s">
        <v>106</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Normativa</v>
      </c>
      <c r="C716" s="85" t="str" cm="1">
        <f t="array" ref="C716">IFERROR(INDEX('03.Muestra'!$F$8:$F$42,SMALL(IF("Página Web"='03.Muestra'!$D$8:$D$42,ROW('03.Muestra'!$F$8:$F$42)-MIN(ROW('03.Muestra'!$D$8:$D$42))+1,""),ROW()-702)),"")</f>
        <v>https://www.comunidad.madrid/es/tacp/normativa</v>
      </c>
      <c r="D716" s="99" t="s">
        <v>106</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Organos Competentes</v>
      </c>
      <c r="C717" s="85" t="str" cm="1">
        <f t="array" ref="C717">IFERROR(INDEX('03.Muestra'!$F$8:$F$42,SMALL(IF("Página Web"='03.Muestra'!$D$8:$D$42,ROW('03.Muestra'!$F$8:$F$42)-MIN(ROW('03.Muestra'!$D$8:$D$42))+1,""),ROW()-702)),"")</f>
        <v>https://www.comunidad.madrid/es/tacp/otros-organos-competentes</v>
      </c>
      <c r="D717" s="99" t="s">
        <v>106</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https://www.comunidad.madrid/es/tacp/contact</v>
      </c>
      <c r="D718" s="99" t="s">
        <v>106</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Accesibilidad</v>
      </c>
      <c r="C719" s="85" t="str" cm="1">
        <f t="array" ref="C719">IFERROR(INDEX('03.Muestra'!$F$8:$F$42,SMALL(IF("Página Web"='03.Muestra'!$D$8:$D$42,ROW('03.Muestra'!$F$8:$F$42)-MIN(ROW('03.Muestra'!$D$8:$D$42))+1,""),ROW()-702)),"")</f>
        <v>https://www.comunidad.madrid/es/tacp/accesibilidad</v>
      </c>
      <c r="D719" s="99" t="s">
        <v>106</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ref="D720:D737" si="37">IF(AND(B720&lt;&gt;"",C720&lt;&gt;""),"N/T","")</f>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4" zoomScale="85" zoomScaleNormal="85" workbookViewId="0">
      <selection activeCell="D35" sqref="D35"/>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133</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COUNTIF($B$18:$B$4076,B12)</f>
        <v>9</v>
      </c>
      <c r="D12" s="26"/>
      <c r="E12" s="14"/>
      <c r="F12" s="199" t="s">
        <v>94</v>
      </c>
      <c r="G12" s="72">
        <f ca="1">J20+J58+J96+J134+J172+J210+J248+J286+J324</f>
        <v>0</v>
      </c>
      <c r="H12" s="42">
        <f ca="1">IF(($G$15+$K$15)=0,0,G12/($G$15+$K$15))</f>
        <v>0</v>
      </c>
      <c r="I12" s="26"/>
      <c r="J12" s="183" t="s">
        <v>95</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f>
        <v>0</v>
      </c>
      <c r="H13" s="42">
        <f ca="1">IF(($G$15+$K$15)=0,0,G13/($G$15+$K$15))</f>
        <v>0</v>
      </c>
      <c r="I13" s="26"/>
      <c r="J13" s="183" t="s">
        <v>97</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98</v>
      </c>
      <c r="C14" s="201">
        <f>C12+C13</f>
        <v>9</v>
      </c>
      <c r="D14" s="26"/>
      <c r="E14" s="14"/>
      <c r="F14" s="199" t="s">
        <v>99</v>
      </c>
      <c r="G14" s="72">
        <f ca="1">H20+H58+H96+H134+H172+H210+H248+H286+H324</f>
        <v>153</v>
      </c>
      <c r="H14" s="42">
        <f ca="1">IF(($G$15+$K$15)=0,0,G14/($G$15+$K$15))</f>
        <v>1</v>
      </c>
      <c r="I14" s="26"/>
      <c r="J14" s="183" t="s">
        <v>100</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153</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134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106</v>
      </c>
      <c r="E20" s="79" t="str">
        <f t="shared" si="0"/>
        <v/>
      </c>
      <c r="F20" s="91">
        <f ca="1">COUNTIF($D19:INDIRECT("$D" &amp;  SUM(ROW()-1,'03.Muestra'!$D$45)-1),F19)</f>
        <v>0</v>
      </c>
      <c r="G20" s="91">
        <f ca="1">COUNTIF($D19:INDIRECT("$D" &amp;  SUM(ROW()-1,'03.Muestra'!$D$45)-1),G19)</f>
        <v>0</v>
      </c>
      <c r="H20" s="91">
        <f ca="1">COUNTIF($D19:INDIRECT("$D" &amp;  SUM(ROW()-1,'03.Muestra'!$D$45)-1),H19)</f>
        <v>17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106</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106</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106</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106</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106</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106</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106</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106</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106</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101</v>
      </c>
      <c r="B56" s="23" t="s">
        <v>93</v>
      </c>
      <c r="C56" s="24" t="s">
        <v>135</v>
      </c>
      <c r="D56" s="25" t="s">
        <v>103</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136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172" t="s">
        <v>137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106</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106</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106</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106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106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106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106</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106</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106</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106</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106</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172" t="s">
        <v>138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106</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106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106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106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106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106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106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106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106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106</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106</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106</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139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106</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Carta del presidente</v>
      </c>
      <c r="C210" s="85" t="str" cm="1">
        <f t="array" ref="C210">IFERROR(INDEX('03.Muestra'!$F$8:$F$42,SMALL(IF("Página Web"='03.Muestra'!$D$8:$D$42,ROW('03.Muestra'!$F$8:$F$42)-MIN(ROW('03.Muestra'!$D$8:$D$42))+1,""),ROW()-208)),"")</f>
        <v>https://www.comunidad.madrid/tacp/carta-del-presidente</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v>
      </c>
      <c r="C211" s="85" t="str" cm="1">
        <f t="array" ref="C211">IFERROR(INDEX('03.Muestra'!$F$8:$F$42,SMALL(IF("Página Web"='03.Muestra'!$D$8:$D$42,ROW('03.Muestra'!$F$8:$F$42)-MIN(ROW('03.Muestra'!$D$8:$D$42))+1,""),ROW()-208)),"")</f>
        <v>https://www.comunidad.madrid/tacp/el-tribunal/organización</v>
      </c>
      <c r="D211" s="99" t="s">
        <v>106</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Acuerdos</v>
      </c>
      <c r="C212" s="85" t="str" cm="1">
        <f t="array" ref="C212">IFERROR(INDEX('03.Muestra'!$F$8:$F$42,SMALL(IF("Página Web"='03.Muestra'!$D$8:$D$42,ROW('03.Muestra'!$F$8:$F$42)-MIN(ROW('03.Muestra'!$D$8:$D$42))+1,""),ROW()-208)),"")</f>
        <v>https://www.comunidad.madrid/tacp/el-tribunal/acuerdos-del-tacp</v>
      </c>
      <c r="D212" s="99" t="s">
        <v>106</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Presentacion</v>
      </c>
      <c r="C213" s="85" t="str" cm="1">
        <f t="array" ref="C213">IFERROR(INDEX('03.Muestra'!$F$8:$F$42,SMALL(IF("Página Web"='03.Muestra'!$D$8:$D$42,ROW('03.Muestra'!$F$8:$F$42)-MIN(ROW('03.Muestra'!$D$8:$D$42))+1,""),ROW()-208)),"")</f>
        <v>https://www.comunidad.madrid/tacp/el-tribunal/presentacion-electronica-e-impresos-normalizados</v>
      </c>
      <c r="D213" s="99" t="s">
        <v>106</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Guia</v>
      </c>
      <c r="C214" s="85" t="str" cm="1">
        <f t="array" ref="C214">IFERROR(INDEX('03.Muestra'!$F$8:$F$42,SMALL(IF("Página Web"='03.Muestra'!$D$8:$D$42,ROW('03.Muestra'!$F$8:$F$42)-MIN(ROW('03.Muestra'!$D$8:$D$42))+1,""),ROW()-208)),"")</f>
        <v>https://www.comunidad.madrid/tacp/el-tribunal/guia-informativa-sobre-la-regulacion-del-tribunal-de-contratacion-publica-y-los</v>
      </c>
      <c r="D214" s="99" t="s">
        <v>106</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Preguntas</v>
      </c>
      <c r="C215" s="85" t="str" cm="1">
        <f t="array" ref="C215">IFERROR(INDEX('03.Muestra'!$F$8:$F$42,SMALL(IF("Página Web"='03.Muestra'!$D$8:$D$42,ROW('03.Muestra'!$F$8:$F$42)-MIN(ROW('03.Muestra'!$D$8:$D$42))+1,""),ROW()-208)),"")</f>
        <v>https://www.comunidad.madrid/tacp/faq-page</v>
      </c>
      <c r="D215" s="99" t="s">
        <v>106</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Histórico</v>
      </c>
      <c r="C216" s="85" t="str" cm="1">
        <f t="array" ref="C216">IFERROR(INDEX('03.Muestra'!$F$8:$F$42,SMALL(IF("Página Web"='03.Muestra'!$D$8:$D$42,ROW('03.Muestra'!$F$8:$F$42)-MIN(ROW('03.Muestra'!$D$8:$D$42))+1,""),ROW()-208)),"")</f>
        <v>https://www.comunidad.madrid/tacp/el-tribunal/historico-resoluciones-de-las-reclamaciones-de-acceso-informacion-publica</v>
      </c>
      <c r="D216" s="99" t="s">
        <v>106</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Estudios</v>
      </c>
      <c r="C217" s="85" t="str" cm="1">
        <f t="array" ref="C217">IFERROR(INDEX('03.Muestra'!$F$8:$F$42,SMALL(IF("Página Web"='03.Muestra'!$D$8:$D$42,ROW('03.Muestra'!$F$8:$F$42)-MIN(ROW('03.Muestra'!$D$8:$D$42))+1,""),ROW()-208)),"")</f>
        <v>https://www.comunidad.madrid/tacp/estudios</v>
      </c>
      <c r="D217" s="99" t="s">
        <v>106</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Memorias</v>
      </c>
      <c r="C218" s="85" t="str" cm="1">
        <f t="array" ref="C218">IFERROR(INDEX('03.Muestra'!$F$8:$F$42,SMALL(IF("Página Web"='03.Muestra'!$D$8:$D$42,ROW('03.Muestra'!$F$8:$F$42)-MIN(ROW('03.Muestra'!$D$8:$D$42))+1,""),ROW()-208)),"")</f>
        <v>https://www.comunidad.madrid/tacp/memorias</v>
      </c>
      <c r="D218" s="99" t="s">
        <v>106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Busqueda Resol</v>
      </c>
      <c r="C219" s="85" t="str" cm="1">
        <f t="array" ref="C219">IFERROR(INDEX('03.Muestra'!$F$8:$F$42,SMALL(IF("Página Web"='03.Muestra'!$D$8:$D$42,ROW('03.Muestra'!$F$8:$F$42)-MIN(ROW('03.Muestra'!$D$8:$D$42))+1,""),ROW()-208)),"")</f>
        <v>https://www.comunidad.madrid/tacp/busquedaresoluciones</v>
      </c>
      <c r="D219" s="99" t="s">
        <v>106</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Novedades</v>
      </c>
      <c r="C220" s="85" t="str" cm="1">
        <f t="array" ref="C220">IFERROR(INDEX('03.Muestra'!$F$8:$F$42,SMALL(IF("Página Web"='03.Muestra'!$D$8:$D$42,ROW('03.Muestra'!$F$8:$F$42)-MIN(ROW('03.Muestra'!$D$8:$D$42))+1,""),ROW()-208)),"")</f>
        <v>https://www.comunidad.madrid/tacp/noticias</v>
      </c>
      <c r="D220" s="99" t="s">
        <v>106</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Recursos especiales</v>
      </c>
      <c r="C221" s="85" t="str" cm="1">
        <f t="array" ref="C221">IFERROR(INDEX('03.Muestra'!$F$8:$F$42,SMALL(IF("Página Web"='03.Muestra'!$D$8:$D$42,ROW('03.Muestra'!$F$8:$F$42)-MIN(ROW('03.Muestra'!$D$8:$D$42))+1,""),ROW()-208)),"")</f>
        <v>https://www.comunidad.madrid/tacp/novedades/publicacion-recursos-especiales-en-perfil-contratante</v>
      </c>
      <c r="D221" s="99" t="s">
        <v>106</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Normativa</v>
      </c>
      <c r="C222" s="85" t="str" cm="1">
        <f t="array" ref="C222">IFERROR(INDEX('03.Muestra'!$F$8:$F$42,SMALL(IF("Página Web"='03.Muestra'!$D$8:$D$42,ROW('03.Muestra'!$F$8:$F$42)-MIN(ROW('03.Muestra'!$D$8:$D$42))+1,""),ROW()-208)),"")</f>
        <v>https://www.comunidad.madrid/es/tacp/normativa</v>
      </c>
      <c r="D222" s="99" t="s">
        <v>106</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Organos Competentes</v>
      </c>
      <c r="C223" s="85" t="str" cm="1">
        <f t="array" ref="C223">IFERROR(INDEX('03.Muestra'!$F$8:$F$42,SMALL(IF("Página Web"='03.Muestra'!$D$8:$D$42,ROW('03.Muestra'!$F$8:$F$42)-MIN(ROW('03.Muestra'!$D$8:$D$42))+1,""),ROW()-208)),"")</f>
        <v>https://www.comunidad.madrid/es/tacp/otros-organos-competentes</v>
      </c>
      <c r="D223" s="99" t="s">
        <v>106</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https://www.comunidad.madrid/es/tacp/contact</v>
      </c>
      <c r="D224" s="99" t="s">
        <v>106</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Accesibilidad</v>
      </c>
      <c r="C225" s="85" t="str" cm="1">
        <f t="array" ref="C225">IFERROR(INDEX('03.Muestra'!$F$8:$F$42,SMALL(IF("Página Web"='03.Muestra'!$D$8:$D$42,ROW('03.Muestra'!$F$8:$F$42)-MIN(ROW('03.Muestra'!$D$8:$D$42))+1,""),ROW()-208)),"")</f>
        <v>https://www.comunidad.madrid/es/tacp/accesibilidad</v>
      </c>
      <c r="D225" s="99" t="s">
        <v>106</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ref="D226:D243" si="11">IF(AND(B226&lt;&gt;"",C226&lt;&gt;""),"N/T","")</f>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140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106</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Carta del presidente</v>
      </c>
      <c r="C248" s="85" t="str" cm="1">
        <f t="array" ref="C248">IFERROR(INDEX('03.Muestra'!$F$8:$F$42,SMALL(IF("Página Web"='03.Muestra'!$D$8:$D$42,ROW('03.Muestra'!$F$8:$F$42)-MIN(ROW('03.Muestra'!$D$8:$D$42))+1,""),ROW()-246)),"")</f>
        <v>https://www.comunidad.madrid/tacp/carta-del-presidente</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17</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Organización</v>
      </c>
      <c r="C249" s="85" t="str" cm="1">
        <f t="array" ref="C249">IFERROR(INDEX('03.Muestra'!$F$8:$F$42,SMALL(IF("Página Web"='03.Muestra'!$D$8:$D$42,ROW('03.Muestra'!$F$8:$F$42)-MIN(ROW('03.Muestra'!$D$8:$D$42))+1,""),ROW()-246)),"")</f>
        <v>https://www.comunidad.madrid/tacp/el-tribunal/organización</v>
      </c>
      <c r="D249" s="99" t="s">
        <v>106</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Acuerdos</v>
      </c>
      <c r="C250" s="85" t="str" cm="1">
        <f t="array" ref="C250">IFERROR(INDEX('03.Muestra'!$F$8:$F$42,SMALL(IF("Página Web"='03.Muestra'!$D$8:$D$42,ROW('03.Muestra'!$F$8:$F$42)-MIN(ROW('03.Muestra'!$D$8:$D$42))+1,""),ROW()-246)),"")</f>
        <v>https://www.comunidad.madrid/tacp/el-tribunal/acuerdos-del-tacp</v>
      </c>
      <c r="D250" s="99" t="s">
        <v>106</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Presentacion</v>
      </c>
      <c r="C251" s="85" t="str" cm="1">
        <f t="array" ref="C251">IFERROR(INDEX('03.Muestra'!$F$8:$F$42,SMALL(IF("Página Web"='03.Muestra'!$D$8:$D$42,ROW('03.Muestra'!$F$8:$F$42)-MIN(ROW('03.Muestra'!$D$8:$D$42))+1,""),ROW()-246)),"")</f>
        <v>https://www.comunidad.madrid/tacp/el-tribunal/presentacion-electronica-e-impresos-normalizados</v>
      </c>
      <c r="D251" s="99" t="s">
        <v>106</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Guia</v>
      </c>
      <c r="C252" s="85" t="str" cm="1">
        <f t="array" ref="C252">IFERROR(INDEX('03.Muestra'!$F$8:$F$42,SMALL(IF("Página Web"='03.Muestra'!$D$8:$D$42,ROW('03.Muestra'!$F$8:$F$42)-MIN(ROW('03.Muestra'!$D$8:$D$42))+1,""),ROW()-246)),"")</f>
        <v>https://www.comunidad.madrid/tacp/el-tribunal/guia-informativa-sobre-la-regulacion-del-tribunal-de-contratacion-publica-y-los</v>
      </c>
      <c r="D252" s="99" t="s">
        <v>106</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Preguntas</v>
      </c>
      <c r="C253" s="85" t="str" cm="1">
        <f t="array" ref="C253">IFERROR(INDEX('03.Muestra'!$F$8:$F$42,SMALL(IF("Página Web"='03.Muestra'!$D$8:$D$42,ROW('03.Muestra'!$F$8:$F$42)-MIN(ROW('03.Muestra'!$D$8:$D$42))+1,""),ROW()-246)),"")</f>
        <v>https://www.comunidad.madrid/tacp/faq-page</v>
      </c>
      <c r="D253" s="99" t="s">
        <v>106</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Histórico</v>
      </c>
      <c r="C254" s="85" t="str" cm="1">
        <f t="array" ref="C254">IFERROR(INDEX('03.Muestra'!$F$8:$F$42,SMALL(IF("Página Web"='03.Muestra'!$D$8:$D$42,ROW('03.Muestra'!$F$8:$F$42)-MIN(ROW('03.Muestra'!$D$8:$D$42))+1,""),ROW()-246)),"")</f>
        <v>https://www.comunidad.madrid/tacp/el-tribunal/historico-resoluciones-de-las-reclamaciones-de-acceso-informacion-publica</v>
      </c>
      <c r="D254" s="99" t="s">
        <v>106</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Estudios</v>
      </c>
      <c r="C255" s="85" t="str" cm="1">
        <f t="array" ref="C255">IFERROR(INDEX('03.Muestra'!$F$8:$F$42,SMALL(IF("Página Web"='03.Muestra'!$D$8:$D$42,ROW('03.Muestra'!$F$8:$F$42)-MIN(ROW('03.Muestra'!$D$8:$D$42))+1,""),ROW()-246)),"")</f>
        <v>https://www.comunidad.madrid/tacp/estudios</v>
      </c>
      <c r="D255" s="99" t="s">
        <v>106</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Memorias</v>
      </c>
      <c r="C256" s="85" t="str" cm="1">
        <f t="array" ref="C256">IFERROR(INDEX('03.Muestra'!$F$8:$F$42,SMALL(IF("Página Web"='03.Muestra'!$D$8:$D$42,ROW('03.Muestra'!$F$8:$F$42)-MIN(ROW('03.Muestra'!$D$8:$D$42))+1,""),ROW()-246)),"")</f>
        <v>https://www.comunidad.madrid/tacp/memorias</v>
      </c>
      <c r="D256" s="99" t="s">
        <v>106</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Busqueda Resol</v>
      </c>
      <c r="C257" s="85" t="str" cm="1">
        <f t="array" ref="C257">IFERROR(INDEX('03.Muestra'!$F$8:$F$42,SMALL(IF("Página Web"='03.Muestra'!$D$8:$D$42,ROW('03.Muestra'!$F$8:$F$42)-MIN(ROW('03.Muestra'!$D$8:$D$42))+1,""),ROW()-246)),"")</f>
        <v>https://www.comunidad.madrid/tacp/busquedaresoluciones</v>
      </c>
      <c r="D257" s="99" t="s">
        <v>106</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Novedades</v>
      </c>
      <c r="C258" s="85" t="str" cm="1">
        <f t="array" ref="C258">IFERROR(INDEX('03.Muestra'!$F$8:$F$42,SMALL(IF("Página Web"='03.Muestra'!$D$8:$D$42,ROW('03.Muestra'!$F$8:$F$42)-MIN(ROW('03.Muestra'!$D$8:$D$42))+1,""),ROW()-246)),"")</f>
        <v>https://www.comunidad.madrid/tacp/noticias</v>
      </c>
      <c r="D258" s="99" t="s">
        <v>106</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Recursos especiales</v>
      </c>
      <c r="C259" s="85" t="str" cm="1">
        <f t="array" ref="C259">IFERROR(INDEX('03.Muestra'!$F$8:$F$42,SMALL(IF("Página Web"='03.Muestra'!$D$8:$D$42,ROW('03.Muestra'!$F$8:$F$42)-MIN(ROW('03.Muestra'!$D$8:$D$42))+1,""),ROW()-246)),"")</f>
        <v>https://www.comunidad.madrid/tacp/novedades/publicacion-recursos-especiales-en-perfil-contratante</v>
      </c>
      <c r="D259" s="99" t="s">
        <v>106</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Normativa</v>
      </c>
      <c r="C260" s="85" t="str" cm="1">
        <f t="array" ref="C260">IFERROR(INDEX('03.Muestra'!$F$8:$F$42,SMALL(IF("Página Web"='03.Muestra'!$D$8:$D$42,ROW('03.Muestra'!$F$8:$F$42)-MIN(ROW('03.Muestra'!$D$8:$D$42))+1,""),ROW()-246)),"")</f>
        <v>https://www.comunidad.madrid/es/tacp/normativa</v>
      </c>
      <c r="D260" s="99" t="s">
        <v>106</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Organos Competentes</v>
      </c>
      <c r="C261" s="85" t="str" cm="1">
        <f t="array" ref="C261">IFERROR(INDEX('03.Muestra'!$F$8:$F$42,SMALL(IF("Página Web"='03.Muestra'!$D$8:$D$42,ROW('03.Muestra'!$F$8:$F$42)-MIN(ROW('03.Muestra'!$D$8:$D$42))+1,""),ROW()-246)),"")</f>
        <v>https://www.comunidad.madrid/es/tacp/otros-organos-competentes</v>
      </c>
      <c r="D261" s="99" t="s">
        <v>106</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https://www.comunidad.madrid/es/tacp/contact</v>
      </c>
      <c r="D262" s="99" t="s">
        <v>106</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Accesibilidad</v>
      </c>
      <c r="C263" s="85" t="str" cm="1">
        <f t="array" ref="C263">IFERROR(INDEX('03.Muestra'!$F$8:$F$42,SMALL(IF("Página Web"='03.Muestra'!$D$8:$D$42,ROW('03.Muestra'!$F$8:$F$42)-MIN(ROW('03.Muestra'!$D$8:$D$42))+1,""),ROW()-246)),"")</f>
        <v>https://www.comunidad.madrid/es/tacp/accesibilidad</v>
      </c>
      <c r="D263" s="99" t="s">
        <v>106</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ref="D264:D281" si="13">IF(AND(B264&lt;&gt;"",C264&lt;&gt;""),"N/T","")</f>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141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Carta del presidente</v>
      </c>
      <c r="C286" s="85" t="str" cm="1">
        <f t="array" ref="C286">IFERROR(INDEX('03.Muestra'!$F$8:$F$42,SMALL(IF("Página Web"='03.Muestra'!$D$8:$D$42,ROW('03.Muestra'!$F$8:$F$42)-MIN(ROW('03.Muestra'!$D$8:$D$42))+1,""),ROW()-284)),"")</f>
        <v>https://www.comunidad.madrid/tacp/carta-del-presidente</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17</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Organización</v>
      </c>
      <c r="C287" s="85" t="str" cm="1">
        <f t="array" ref="C287">IFERROR(INDEX('03.Muestra'!$F$8:$F$42,SMALL(IF("Página Web"='03.Muestra'!$D$8:$D$42,ROW('03.Muestra'!$F$8:$F$42)-MIN(ROW('03.Muestra'!$D$8:$D$42))+1,""),ROW()-284)),"")</f>
        <v>https://www.comunidad.madrid/tacp/el-tribunal/organización</v>
      </c>
      <c r="D287" s="99" t="s">
        <v>106</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Acuerdos</v>
      </c>
      <c r="C288" s="85" t="str" cm="1">
        <f t="array" ref="C288">IFERROR(INDEX('03.Muestra'!$F$8:$F$42,SMALL(IF("Página Web"='03.Muestra'!$D$8:$D$42,ROW('03.Muestra'!$F$8:$F$42)-MIN(ROW('03.Muestra'!$D$8:$D$42))+1,""),ROW()-284)),"")</f>
        <v>https://www.comunidad.madrid/tacp/el-tribunal/acuerdos-del-tacp</v>
      </c>
      <c r="D288" s="99" t="s">
        <v>106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Presentacion</v>
      </c>
      <c r="C289" s="85" t="str" cm="1">
        <f t="array" ref="C289">IFERROR(INDEX('03.Muestra'!$F$8:$F$42,SMALL(IF("Página Web"='03.Muestra'!$D$8:$D$42,ROW('03.Muestra'!$F$8:$F$42)-MIN(ROW('03.Muestra'!$D$8:$D$42))+1,""),ROW()-284)),"")</f>
        <v>https://www.comunidad.madrid/tacp/el-tribunal/presentacion-electronica-e-impresos-normalizados</v>
      </c>
      <c r="D289" s="99" t="s">
        <v>106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Guia</v>
      </c>
      <c r="C290" s="85" t="str" cm="1">
        <f t="array" ref="C290">IFERROR(INDEX('03.Muestra'!$F$8:$F$42,SMALL(IF("Página Web"='03.Muestra'!$D$8:$D$42,ROW('03.Muestra'!$F$8:$F$42)-MIN(ROW('03.Muestra'!$D$8:$D$42))+1,""),ROW()-284)),"")</f>
        <v>https://www.comunidad.madrid/tacp/el-tribunal/guia-informativa-sobre-la-regulacion-del-tribunal-de-contratacion-publica-y-los</v>
      </c>
      <c r="D290" s="99" t="s">
        <v>106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Preguntas</v>
      </c>
      <c r="C291" s="85" t="str" cm="1">
        <f t="array" ref="C291">IFERROR(INDEX('03.Muestra'!$F$8:$F$42,SMALL(IF("Página Web"='03.Muestra'!$D$8:$D$42,ROW('03.Muestra'!$F$8:$F$42)-MIN(ROW('03.Muestra'!$D$8:$D$42))+1,""),ROW()-284)),"")</f>
        <v>https://www.comunidad.madrid/tacp/faq-page</v>
      </c>
      <c r="D291" s="99" t="s">
        <v>106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Histórico</v>
      </c>
      <c r="C292" s="85" t="str" cm="1">
        <f t="array" ref="C292">IFERROR(INDEX('03.Muestra'!$F$8:$F$42,SMALL(IF("Página Web"='03.Muestra'!$D$8:$D$42,ROW('03.Muestra'!$F$8:$F$42)-MIN(ROW('03.Muestra'!$D$8:$D$42))+1,""),ROW()-284)),"")</f>
        <v>https://www.comunidad.madrid/tacp/el-tribunal/historico-resoluciones-de-las-reclamaciones-de-acceso-informacion-publica</v>
      </c>
      <c r="D292" s="99" t="s">
        <v>106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Estudios</v>
      </c>
      <c r="C293" s="85" t="str" cm="1">
        <f t="array" ref="C293">IFERROR(INDEX('03.Muestra'!$F$8:$F$42,SMALL(IF("Página Web"='03.Muestra'!$D$8:$D$42,ROW('03.Muestra'!$F$8:$F$42)-MIN(ROW('03.Muestra'!$D$8:$D$42))+1,""),ROW()-284)),"")</f>
        <v>https://www.comunidad.madrid/tacp/estudios</v>
      </c>
      <c r="D293" s="99" t="s">
        <v>106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Memorias</v>
      </c>
      <c r="C294" s="85" t="str" cm="1">
        <f t="array" ref="C294">IFERROR(INDEX('03.Muestra'!$F$8:$F$42,SMALL(IF("Página Web"='03.Muestra'!$D$8:$D$42,ROW('03.Muestra'!$F$8:$F$42)-MIN(ROW('03.Muestra'!$D$8:$D$42))+1,""),ROW()-284)),"")</f>
        <v>https://www.comunidad.madrid/tacp/memorias</v>
      </c>
      <c r="D294" s="99" t="s">
        <v>106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Busqueda Resol</v>
      </c>
      <c r="C295" s="85" t="str" cm="1">
        <f t="array" ref="C295">IFERROR(INDEX('03.Muestra'!$F$8:$F$42,SMALL(IF("Página Web"='03.Muestra'!$D$8:$D$42,ROW('03.Muestra'!$F$8:$F$42)-MIN(ROW('03.Muestra'!$D$8:$D$42))+1,""),ROW()-284)),"")</f>
        <v>https://www.comunidad.madrid/tacp/busquedaresoluciones</v>
      </c>
      <c r="D295" s="99" t="s">
        <v>106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Novedades</v>
      </c>
      <c r="C296" s="85" t="str" cm="1">
        <f t="array" ref="C296">IFERROR(INDEX('03.Muestra'!$F$8:$F$42,SMALL(IF("Página Web"='03.Muestra'!$D$8:$D$42,ROW('03.Muestra'!$F$8:$F$42)-MIN(ROW('03.Muestra'!$D$8:$D$42))+1,""),ROW()-284)),"")</f>
        <v>https://www.comunidad.madrid/tacp/noticias</v>
      </c>
      <c r="D296" s="99" t="s">
        <v>106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Recursos especiales</v>
      </c>
      <c r="C297" s="85" t="str" cm="1">
        <f t="array" ref="C297">IFERROR(INDEX('03.Muestra'!$F$8:$F$42,SMALL(IF("Página Web"='03.Muestra'!$D$8:$D$42,ROW('03.Muestra'!$F$8:$F$42)-MIN(ROW('03.Muestra'!$D$8:$D$42))+1,""),ROW()-284)),"")</f>
        <v>https://www.comunidad.madrid/tacp/novedades/publicacion-recursos-especiales-en-perfil-contratante</v>
      </c>
      <c r="D297" s="99" t="s">
        <v>106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Normativa</v>
      </c>
      <c r="C298" s="85" t="str" cm="1">
        <f t="array" ref="C298">IFERROR(INDEX('03.Muestra'!$F$8:$F$42,SMALL(IF("Página Web"='03.Muestra'!$D$8:$D$42,ROW('03.Muestra'!$F$8:$F$42)-MIN(ROW('03.Muestra'!$D$8:$D$42))+1,""),ROW()-284)),"")</f>
        <v>https://www.comunidad.madrid/es/tacp/normativa</v>
      </c>
      <c r="D298" s="99" t="s">
        <v>106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Organos Competentes</v>
      </c>
      <c r="C299" s="85" t="str" cm="1">
        <f t="array" ref="C299">IFERROR(INDEX('03.Muestra'!$F$8:$F$42,SMALL(IF("Página Web"='03.Muestra'!$D$8:$D$42,ROW('03.Muestra'!$F$8:$F$42)-MIN(ROW('03.Muestra'!$D$8:$D$42))+1,""),ROW()-284)),"")</f>
        <v>https://www.comunidad.madrid/es/tacp/otros-organos-competentes</v>
      </c>
      <c r="D299" s="99" t="s">
        <v>106</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https://www.comunidad.madrid/es/tacp/contact</v>
      </c>
      <c r="D300" s="99" t="s">
        <v>106</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Accesibilidad</v>
      </c>
      <c r="C301" s="85" t="str" cm="1">
        <f t="array" ref="C301">IFERROR(INDEX('03.Muestra'!$F$8:$F$42,SMALL(IF("Página Web"='03.Muestra'!$D$8:$D$42,ROW('03.Muestra'!$F$8:$F$42)-MIN(ROW('03.Muestra'!$D$8:$D$42))+1,""),ROW()-284)),"")</f>
        <v>https://www.comunidad.madrid/es/tacp/accesibilidad</v>
      </c>
      <c r="D301" s="99" t="s">
        <v>106</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ref="D302:D319" si="15">IF(AND(B302&lt;&gt;"",C302&lt;&gt;""),"N/T","")</f>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142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Carta del presidente</v>
      </c>
      <c r="C324" s="85" t="str" cm="1">
        <f t="array" ref="C324">IFERROR(INDEX('03.Muestra'!$F$8:$F$42,SMALL(IF("Página Web"='03.Muestra'!$D$8:$D$42,ROW('03.Muestra'!$F$8:$F$42)-MIN(ROW('03.Muestra'!$D$8:$D$42))+1,""),ROW()-322)),"")</f>
        <v>https://www.comunidad.madrid/tacp/carta-del-presidente</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17</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Organización</v>
      </c>
      <c r="C325" s="85" t="str" cm="1">
        <f t="array" ref="C325">IFERROR(INDEX('03.Muestra'!$F$8:$F$42,SMALL(IF("Página Web"='03.Muestra'!$D$8:$D$42,ROW('03.Muestra'!$F$8:$F$42)-MIN(ROW('03.Muestra'!$D$8:$D$42))+1,""),ROW()-322)),"")</f>
        <v>https://www.comunidad.madrid/tacp/el-tribunal/organización</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Acuerdos</v>
      </c>
      <c r="C326" s="85" t="str" cm="1">
        <f t="array" ref="C326">IFERROR(INDEX('03.Muestra'!$F$8:$F$42,SMALL(IF("Página Web"='03.Muestra'!$D$8:$D$42,ROW('03.Muestra'!$F$8:$F$42)-MIN(ROW('03.Muestra'!$D$8:$D$42))+1,""),ROW()-322)),"")</f>
        <v>https://www.comunidad.madrid/tacp/el-tribunal/acuerdos-del-tacp</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Presentacion</v>
      </c>
      <c r="C327" s="85" t="str" cm="1">
        <f t="array" ref="C327">IFERROR(INDEX('03.Muestra'!$F$8:$F$42,SMALL(IF("Página Web"='03.Muestra'!$D$8:$D$42,ROW('03.Muestra'!$F$8:$F$42)-MIN(ROW('03.Muestra'!$D$8:$D$42))+1,""),ROW()-322)),"")</f>
        <v>https://www.comunidad.madrid/tacp/el-tribunal/presentacion-electronica-e-impresos-normalizados</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Guia</v>
      </c>
      <c r="C328" s="85" t="str" cm="1">
        <f t="array" ref="C328">IFERROR(INDEX('03.Muestra'!$F$8:$F$42,SMALL(IF("Página Web"='03.Muestra'!$D$8:$D$42,ROW('03.Muestra'!$F$8:$F$42)-MIN(ROW('03.Muestra'!$D$8:$D$42))+1,""),ROW()-322)),"")</f>
        <v>https://www.comunidad.madrid/tacp/el-tribunal/guia-informativa-sobre-la-regulacion-del-tribunal-de-contratacion-publica-y-los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Preguntas</v>
      </c>
      <c r="C329" s="85" t="str" cm="1">
        <f t="array" ref="C329">IFERROR(INDEX('03.Muestra'!$F$8:$F$42,SMALL(IF("Página Web"='03.Muestra'!$D$8:$D$42,ROW('03.Muestra'!$F$8:$F$42)-MIN(ROW('03.Muestra'!$D$8:$D$42))+1,""),ROW()-322)),"")</f>
        <v>https://www.comunidad.madrid/tacp/faq-page</v>
      </c>
      <c r="D329" s="99" t="s">
        <v>106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Histórico</v>
      </c>
      <c r="C330" s="85" t="str" cm="1">
        <f t="array" ref="C330">IFERROR(INDEX('03.Muestra'!$F$8:$F$42,SMALL(IF("Página Web"='03.Muestra'!$D$8:$D$42,ROW('03.Muestra'!$F$8:$F$42)-MIN(ROW('03.Muestra'!$D$8:$D$42))+1,""),ROW()-322)),"")</f>
        <v>https://www.comunidad.madrid/tacp/el-tribunal/historico-resoluciones-de-las-reclamaciones-de-acceso-informacion-publica</v>
      </c>
      <c r="D330" s="99" t="s">
        <v>106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Estudios</v>
      </c>
      <c r="C331" s="85" t="str" cm="1">
        <f t="array" ref="C331">IFERROR(INDEX('03.Muestra'!$F$8:$F$42,SMALL(IF("Página Web"='03.Muestra'!$D$8:$D$42,ROW('03.Muestra'!$F$8:$F$42)-MIN(ROW('03.Muestra'!$D$8:$D$42))+1,""),ROW()-322)),"")</f>
        <v>https://www.comunidad.madrid/tacp/estudios</v>
      </c>
      <c r="D331" s="99" t="s">
        <v>106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Memorias</v>
      </c>
      <c r="C332" s="85" t="str" cm="1">
        <f t="array" ref="C332">IFERROR(INDEX('03.Muestra'!$F$8:$F$42,SMALL(IF("Página Web"='03.Muestra'!$D$8:$D$42,ROW('03.Muestra'!$F$8:$F$42)-MIN(ROW('03.Muestra'!$D$8:$D$42))+1,""),ROW()-322)),"")</f>
        <v>https://www.comunidad.madrid/tacp/memorias</v>
      </c>
      <c r="D332" s="99" t="s">
        <v>106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Busqueda Resol</v>
      </c>
      <c r="C333" s="85" t="str" cm="1">
        <f t="array" ref="C333">IFERROR(INDEX('03.Muestra'!$F$8:$F$42,SMALL(IF("Página Web"='03.Muestra'!$D$8:$D$42,ROW('03.Muestra'!$F$8:$F$42)-MIN(ROW('03.Muestra'!$D$8:$D$42))+1,""),ROW()-322)),"")</f>
        <v>https://www.comunidad.madrid/tacp/busquedaresoluciones</v>
      </c>
      <c r="D333" s="99" t="s">
        <v>106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Novedades</v>
      </c>
      <c r="C334" s="85" t="str" cm="1">
        <f t="array" ref="C334">IFERROR(INDEX('03.Muestra'!$F$8:$F$42,SMALL(IF("Página Web"='03.Muestra'!$D$8:$D$42,ROW('03.Muestra'!$F$8:$F$42)-MIN(ROW('03.Muestra'!$D$8:$D$42))+1,""),ROW()-322)),"")</f>
        <v>https://www.comunidad.madrid/tacp/noticias</v>
      </c>
      <c r="D334" s="99" t="s">
        <v>106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Recursos especiales</v>
      </c>
      <c r="C335" s="85" t="str" cm="1">
        <f t="array" ref="C335">IFERROR(INDEX('03.Muestra'!$F$8:$F$42,SMALL(IF("Página Web"='03.Muestra'!$D$8:$D$42,ROW('03.Muestra'!$F$8:$F$42)-MIN(ROW('03.Muestra'!$D$8:$D$42))+1,""),ROW()-322)),"")</f>
        <v>https://www.comunidad.madrid/tacp/novedades/publicacion-recursos-especiales-en-perfil-contratante</v>
      </c>
      <c r="D335" s="99" t="s">
        <v>106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Normativa</v>
      </c>
      <c r="C336" s="85" t="str" cm="1">
        <f t="array" ref="C336">IFERROR(INDEX('03.Muestra'!$F$8:$F$42,SMALL(IF("Página Web"='03.Muestra'!$D$8:$D$42,ROW('03.Muestra'!$F$8:$F$42)-MIN(ROW('03.Muestra'!$D$8:$D$42))+1,""),ROW()-322)),"")</f>
        <v>https://www.comunidad.madrid/es/tacp/normativa</v>
      </c>
      <c r="D336" s="99" t="s">
        <v>106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Organos Competentes</v>
      </c>
      <c r="C337" s="85" t="str" cm="1">
        <f t="array" ref="C337">IFERROR(INDEX('03.Muestra'!$F$8:$F$42,SMALL(IF("Página Web"='03.Muestra'!$D$8:$D$42,ROW('03.Muestra'!$F$8:$F$42)-MIN(ROW('03.Muestra'!$D$8:$D$42))+1,""),ROW()-322)),"")</f>
        <v>https://www.comunidad.madrid/es/tacp/otros-organos-competentes</v>
      </c>
      <c r="D337" s="99" t="s">
        <v>106</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https://www.comunidad.madrid/es/tacp/contact</v>
      </c>
      <c r="D338" s="99" t="s">
        <v>106</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Accesibilidad</v>
      </c>
      <c r="C339" s="85" t="str" cm="1">
        <f t="array" ref="C339">IFERROR(INDEX('03.Muestra'!$F$8:$F$42,SMALL(IF("Página Web"='03.Muestra'!$D$8:$D$42,ROW('03.Muestra'!$F$8:$F$42)-MIN(ROW('03.Muestra'!$D$8:$D$42))+1,""),ROW()-322)),"")</f>
        <v>https://www.comunidad.madrid/es/tacp/accesibilidad</v>
      </c>
      <c r="D339" s="99" t="s">
        <v>106</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ref="D340:D357" si="17">IF(AND(B340&lt;&gt;"",C340&lt;&gt;""),"N/T","")</f>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488" zoomScale="90" zoomScaleNormal="90" workbookViewId="0">
      <selection activeCell="F517" sqref="F517"/>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143</v>
      </c>
      <c r="C8" s="18"/>
      <c r="D8" s="79"/>
      <c r="E8" s="79"/>
      <c r="F8" s="18"/>
      <c r="G8" s="18"/>
      <c r="H8" s="18"/>
      <c r="I8" s="18"/>
      <c r="J8" s="18"/>
      <c r="K8" s="18"/>
      <c r="L8" s="18"/>
      <c r="M8" s="18"/>
      <c r="N8" s="18"/>
      <c r="O8" s="18"/>
    </row>
    <row r="9" spans="1:64" ht="30" customHeight="1">
      <c r="B9" s="230" t="s">
        <v>87</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COUNTIF($B$18:$B$3962,B12)</f>
        <v>50</v>
      </c>
      <c r="D12" s="26"/>
      <c r="E12" s="14"/>
      <c r="F12" s="199" t="s">
        <v>94</v>
      </c>
      <c r="G12" s="72">
        <f ca="1">J20+J58+J96+J134+J172+J210+J248+J286+J324+J362+J400+J438+J476+J514+J552+J590+J628+J666+J704+J742+J780+J818+J856+J894+J932+J970+J1008+J1046+J1084+J1122+J1160+J1198+J1236+J1274+J1312+J1350+J1388+J1426+J1464+J1502+J1540+J1578+J1616+J1654+J1692+J1730+J1768+J1806+J1844+J1882</f>
        <v>397</v>
      </c>
      <c r="H12" s="42">
        <f ca="1">IF(($G$15+$K$15)=0,0,G12/($G$15+$K$15))</f>
        <v>0.46705882352941175</v>
      </c>
      <c r="I12" s="26"/>
      <c r="J12" s="183" t="s">
        <v>95</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I20+I58+I96+I134+I172+I210+I248+I286+I324+I362+I400+I438+I476+I514+I552+I590+I628+I666+I704+I742+I780+I818+I856+I894+I932+I970+I1008+I1046+I1084+I1122+I1160+I1198+I1236+I1274+I1312+I1350+I1388+I1426+I1464+I1502+I1540+I1578+I1616+I1654+I1692+I1730+I1768+I1806+I1844+I1882</f>
        <v>36</v>
      </c>
      <c r="H13" s="42">
        <f ca="1">IF(($G$15+$K$15)=0,0,G13/($G$15+$K$15))</f>
        <v>4.2352941176470586E-2</v>
      </c>
      <c r="I13" s="26"/>
      <c r="J13" s="183" t="s">
        <v>97</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98</v>
      </c>
      <c r="C14" s="201">
        <f>C12+C13</f>
        <v>50</v>
      </c>
      <c r="D14" s="26"/>
      <c r="E14" s="14"/>
      <c r="F14" s="199" t="s">
        <v>99</v>
      </c>
      <c r="G14" s="72">
        <f ca="1">H20+H58+H96+H134+H172+H210+H248+H286+H324+H362+H400+H438+H476+H514+H552+H590+H628+H666+H704+H742+H780+H818+H856+H894+H932+H970+H1008+H1046+H1084+H1122+H1160+H1198+H1236+H1274+H1312+H1350+H1388+H1426+H1464+H1502+H1540+H1578+H1616+H1654+H1692+H1730+H1768+H1806+H1844+H1882</f>
        <v>417</v>
      </c>
      <c r="H14" s="42">
        <f ca="1">IF(($G$15+$K$15)=0,0,G14/($G$15+$K$15))</f>
        <v>0.49058823529411766</v>
      </c>
      <c r="I14" s="26"/>
      <c r="J14" s="183" t="s">
        <v>100</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850</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144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94</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94</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94</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94</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145</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146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147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106</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106</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106</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106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106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106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106</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106</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106</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106</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106</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148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106</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106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106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106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106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106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106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106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106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106</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106</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106</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101</v>
      </c>
      <c r="B208" s="23" t="s">
        <v>93</v>
      </c>
      <c r="C208" s="24" t="s">
        <v>149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94</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Carta del presidente</v>
      </c>
      <c r="C210" s="85" t="str" cm="1">
        <f t="array" ref="C210">IFERROR(INDEX('03.Muestra'!$F$8:$F$42,SMALL(IF("Página Web"='03.Muestra'!$D$8:$D$42,ROW('03.Muestra'!$F$8:$F$42)-MIN(ROW('03.Muestra'!$D$8:$D$42))+1,""),ROW()-208)),"")</f>
        <v>https://www.comunidad.madrid/tacp/carta-del-presidente</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17</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v>
      </c>
      <c r="C211" s="85" t="str" cm="1">
        <f t="array" ref="C211">IFERROR(INDEX('03.Muestra'!$F$8:$F$42,SMALL(IF("Página Web"='03.Muestra'!$D$8:$D$42,ROW('03.Muestra'!$F$8:$F$42)-MIN(ROW('03.Muestra'!$D$8:$D$42))+1,""),ROW()-208)),"")</f>
        <v>https://www.comunidad.madrid/tacp/el-tribunal/organización</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Acuerdos</v>
      </c>
      <c r="C212" s="85" t="str" cm="1">
        <f t="array" ref="C212">IFERROR(INDEX('03.Muestra'!$F$8:$F$42,SMALL(IF("Página Web"='03.Muestra'!$D$8:$D$42,ROW('03.Muestra'!$F$8:$F$42)-MIN(ROW('03.Muestra'!$D$8:$D$42))+1,""),ROW()-208)),"")</f>
        <v>https://www.comunidad.madrid/tacp/el-tribunal/acuerdos-del-tacp</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Presentacion</v>
      </c>
      <c r="C213" s="85" t="str" cm="1">
        <f t="array" ref="C213">IFERROR(INDEX('03.Muestra'!$F$8:$F$42,SMALL(IF("Página Web"='03.Muestra'!$D$8:$D$42,ROW('03.Muestra'!$F$8:$F$42)-MIN(ROW('03.Muestra'!$D$8:$D$42))+1,""),ROW()-208)),"")</f>
        <v>https://www.comunidad.madrid/tacp/el-tribunal/presentacion-electronica-e-impresos-normalizados</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Guia</v>
      </c>
      <c r="C214" s="85" t="str" cm="1">
        <f t="array" ref="C214">IFERROR(INDEX('03.Muestra'!$F$8:$F$42,SMALL(IF("Página Web"='03.Muestra'!$D$8:$D$42,ROW('03.Muestra'!$F$8:$F$42)-MIN(ROW('03.Muestra'!$D$8:$D$42))+1,""),ROW()-208)),"")</f>
        <v>https://www.comunidad.madrid/tacp/el-tribunal/guia-informativa-sobre-la-regulacion-del-tribunal-de-contratacion-publica-y-los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Preguntas</v>
      </c>
      <c r="C215" s="85" t="str" cm="1">
        <f t="array" ref="C215">IFERROR(INDEX('03.Muestra'!$F$8:$F$42,SMALL(IF("Página Web"='03.Muestra'!$D$8:$D$42,ROW('03.Muestra'!$F$8:$F$42)-MIN(ROW('03.Muestra'!$D$8:$D$42))+1,""),ROW()-208)),"")</f>
        <v>https://www.comunidad.madrid/tacp/faq-page</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Histórico</v>
      </c>
      <c r="C216" s="85" t="str" cm="1">
        <f t="array" ref="C216">IFERROR(INDEX('03.Muestra'!$F$8:$F$42,SMALL(IF("Página Web"='03.Muestra'!$D$8:$D$42,ROW('03.Muestra'!$F$8:$F$42)-MIN(ROW('03.Muestra'!$D$8:$D$42))+1,""),ROW()-208)),"")</f>
        <v>https://www.comunidad.madrid/tacp/el-tribunal/historico-resoluciones-de-las-reclamaciones-de-acceso-informacion-publica</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Estudios</v>
      </c>
      <c r="C217" s="85" t="str" cm="1">
        <f t="array" ref="C217">IFERROR(INDEX('03.Muestra'!$F$8:$F$42,SMALL(IF("Página Web"='03.Muestra'!$D$8:$D$42,ROW('03.Muestra'!$F$8:$F$42)-MIN(ROW('03.Muestra'!$D$8:$D$42))+1,""),ROW()-208)),"")</f>
        <v>https://www.comunidad.madrid/tacp/estudios</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Memorias</v>
      </c>
      <c r="C218" s="85" t="str" cm="1">
        <f t="array" ref="C218">IFERROR(INDEX('03.Muestra'!$F$8:$F$42,SMALL(IF("Página Web"='03.Muestra'!$D$8:$D$42,ROW('03.Muestra'!$F$8:$F$42)-MIN(ROW('03.Muestra'!$D$8:$D$42))+1,""),ROW()-208)),"")</f>
        <v>https://www.comunidad.madrid/tacp/memorias</v>
      </c>
      <c r="D218" s="99" t="s">
        <v>94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Busqueda Resol</v>
      </c>
      <c r="C219" s="85" t="str" cm="1">
        <f t="array" ref="C219">IFERROR(INDEX('03.Muestra'!$F$8:$F$42,SMALL(IF("Página Web"='03.Muestra'!$D$8:$D$42,ROW('03.Muestra'!$F$8:$F$42)-MIN(ROW('03.Muestra'!$D$8:$D$42))+1,""),ROW()-208)),"")</f>
        <v>https://www.comunidad.madrid/tacp/busquedaresoluciones</v>
      </c>
      <c r="D219" s="99" t="s">
        <v>94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Novedades</v>
      </c>
      <c r="C220" s="85" t="str" cm="1">
        <f t="array" ref="C220">IFERROR(INDEX('03.Muestra'!$F$8:$F$42,SMALL(IF("Página Web"='03.Muestra'!$D$8:$D$42,ROW('03.Muestra'!$F$8:$F$42)-MIN(ROW('03.Muestra'!$D$8:$D$42))+1,""),ROW()-208)),"")</f>
        <v>https://www.comunidad.madrid/tacp/noticias</v>
      </c>
      <c r="D220" s="99" t="s">
        <v>94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Recursos especiales</v>
      </c>
      <c r="C221" s="85" t="str" cm="1">
        <f t="array" ref="C221">IFERROR(INDEX('03.Muestra'!$F$8:$F$42,SMALL(IF("Página Web"='03.Muestra'!$D$8:$D$42,ROW('03.Muestra'!$F$8:$F$42)-MIN(ROW('03.Muestra'!$D$8:$D$42))+1,""),ROW()-208)),"")</f>
        <v>https://www.comunidad.madrid/tacp/novedades/publicacion-recursos-especiales-en-perfil-contratante</v>
      </c>
      <c r="D221" s="99" t="s">
        <v>94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Normativa</v>
      </c>
      <c r="C222" s="85" t="str" cm="1">
        <f t="array" ref="C222">IFERROR(INDEX('03.Muestra'!$F$8:$F$42,SMALL(IF("Página Web"='03.Muestra'!$D$8:$D$42,ROW('03.Muestra'!$F$8:$F$42)-MIN(ROW('03.Muestra'!$D$8:$D$42))+1,""),ROW()-208)),"")</f>
        <v>https://www.comunidad.madrid/es/tacp/normativa</v>
      </c>
      <c r="D222" s="99" t="s">
        <v>94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Organos Competentes</v>
      </c>
      <c r="C223" s="85" t="str" cm="1">
        <f t="array" ref="C223">IFERROR(INDEX('03.Muestra'!$F$8:$F$42,SMALL(IF("Página Web"='03.Muestra'!$D$8:$D$42,ROW('03.Muestra'!$F$8:$F$42)-MIN(ROW('03.Muestra'!$D$8:$D$42))+1,""),ROW()-208)),"")</f>
        <v>https://www.comunidad.madrid/es/tacp/otros-organos-competentes</v>
      </c>
      <c r="D223" s="99" t="s">
        <v>94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https://www.comunidad.madrid/es/tacp/contact</v>
      </c>
      <c r="D224" s="99" t="s">
        <v>94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Accesibilidad</v>
      </c>
      <c r="C225" s="85" t="str" cm="1">
        <f t="array" ref="C225">IFERROR(INDEX('03.Muestra'!$F$8:$F$42,SMALL(IF("Página Web"='03.Muestra'!$D$8:$D$42,ROW('03.Muestra'!$F$8:$F$42)-MIN(ROW('03.Muestra'!$D$8:$D$42))+1,""),ROW()-208)),"")</f>
        <v>https://www.comunidad.madrid/es/tacp/accesibilidad</v>
      </c>
      <c r="D225" s="99" t="s">
        <v>94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ref="D226:D243" si="11">IF(AND(B226&lt;&gt;"",C226&lt;&gt;""),"N/T","")</f>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101</v>
      </c>
      <c r="B246" s="23" t="s">
        <v>93</v>
      </c>
      <c r="C246" s="24" t="s">
        <v>150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94</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Carta del presidente</v>
      </c>
      <c r="C248" s="85" t="str" cm="1">
        <f t="array" ref="C248">IFERROR(INDEX('03.Muestra'!$F$8:$F$42,SMALL(IF("Página Web"='03.Muestra'!$D$8:$D$42,ROW('03.Muestra'!$F$8:$F$42)-MIN(ROW('03.Muestra'!$D$8:$D$42))+1,""),ROW()-246)),"")</f>
        <v>https://www.comunidad.madrid/tacp/carta-del-presidente</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17</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Organización</v>
      </c>
      <c r="C249" s="85" t="str" cm="1">
        <f t="array" ref="C249">IFERROR(INDEX('03.Muestra'!$F$8:$F$42,SMALL(IF("Página Web"='03.Muestra'!$D$8:$D$42,ROW('03.Muestra'!$F$8:$F$42)-MIN(ROW('03.Muestra'!$D$8:$D$42))+1,""),ROW()-246)),"")</f>
        <v>https://www.comunidad.madrid/tacp/el-tribunal/organización</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Acuerdos</v>
      </c>
      <c r="C250" s="85" t="str" cm="1">
        <f t="array" ref="C250">IFERROR(INDEX('03.Muestra'!$F$8:$F$42,SMALL(IF("Página Web"='03.Muestra'!$D$8:$D$42,ROW('03.Muestra'!$F$8:$F$42)-MIN(ROW('03.Muestra'!$D$8:$D$42))+1,""),ROW()-246)),"")</f>
        <v>https://www.comunidad.madrid/tacp/el-tribunal/acuerdos-del-tacp</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Presentacion</v>
      </c>
      <c r="C251" s="85" t="str" cm="1">
        <f t="array" ref="C251">IFERROR(INDEX('03.Muestra'!$F$8:$F$42,SMALL(IF("Página Web"='03.Muestra'!$D$8:$D$42,ROW('03.Muestra'!$F$8:$F$42)-MIN(ROW('03.Muestra'!$D$8:$D$42))+1,""),ROW()-246)),"")</f>
        <v>https://www.comunidad.madrid/tacp/el-tribunal/presentacion-electronica-e-impresos-normalizados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Guia</v>
      </c>
      <c r="C252" s="85" t="str" cm="1">
        <f t="array" ref="C252">IFERROR(INDEX('03.Muestra'!$F$8:$F$42,SMALL(IF("Página Web"='03.Muestra'!$D$8:$D$42,ROW('03.Muestra'!$F$8:$F$42)-MIN(ROW('03.Muestra'!$D$8:$D$42))+1,""),ROW()-246)),"")</f>
        <v>https://www.comunidad.madrid/tacp/el-tribunal/guia-informativa-sobre-la-regulacion-del-tribunal-de-contratacion-publica-y-los</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Preguntas</v>
      </c>
      <c r="C253" s="85" t="str" cm="1">
        <f t="array" ref="C253">IFERROR(INDEX('03.Muestra'!$F$8:$F$42,SMALL(IF("Página Web"='03.Muestra'!$D$8:$D$42,ROW('03.Muestra'!$F$8:$F$42)-MIN(ROW('03.Muestra'!$D$8:$D$42))+1,""),ROW()-246)),"")</f>
        <v>https://www.comunidad.madrid/tacp/faq-page</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Histórico</v>
      </c>
      <c r="C254" s="85" t="str" cm="1">
        <f t="array" ref="C254">IFERROR(INDEX('03.Muestra'!$F$8:$F$42,SMALL(IF("Página Web"='03.Muestra'!$D$8:$D$42,ROW('03.Muestra'!$F$8:$F$42)-MIN(ROW('03.Muestra'!$D$8:$D$42))+1,""),ROW()-246)),"")</f>
        <v>https://www.comunidad.madrid/tacp/el-tribunal/historico-resoluciones-de-las-reclamaciones-de-acceso-informacion-publica</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Estudios</v>
      </c>
      <c r="C255" s="85" t="str" cm="1">
        <f t="array" ref="C255">IFERROR(INDEX('03.Muestra'!$F$8:$F$42,SMALL(IF("Página Web"='03.Muestra'!$D$8:$D$42,ROW('03.Muestra'!$F$8:$F$42)-MIN(ROW('03.Muestra'!$D$8:$D$42))+1,""),ROW()-246)),"")</f>
        <v>https://www.comunidad.madrid/tacp/estudios</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Memorias</v>
      </c>
      <c r="C256" s="85" t="str" cm="1">
        <f t="array" ref="C256">IFERROR(INDEX('03.Muestra'!$F$8:$F$42,SMALL(IF("Página Web"='03.Muestra'!$D$8:$D$42,ROW('03.Muestra'!$F$8:$F$42)-MIN(ROW('03.Muestra'!$D$8:$D$42))+1,""),ROW()-246)),"")</f>
        <v>https://www.comunidad.madrid/tacp/memorias</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Busqueda Resol</v>
      </c>
      <c r="C257" s="85" t="str" cm="1">
        <f t="array" ref="C257">IFERROR(INDEX('03.Muestra'!$F$8:$F$42,SMALL(IF("Página Web"='03.Muestra'!$D$8:$D$42,ROW('03.Muestra'!$F$8:$F$42)-MIN(ROW('03.Muestra'!$D$8:$D$42))+1,""),ROW()-246)),"")</f>
        <v>https://www.comunidad.madrid/tacp/busquedaresoluciones</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Novedades</v>
      </c>
      <c r="C258" s="85" t="str" cm="1">
        <f t="array" ref="C258">IFERROR(INDEX('03.Muestra'!$F$8:$F$42,SMALL(IF("Página Web"='03.Muestra'!$D$8:$D$42,ROW('03.Muestra'!$F$8:$F$42)-MIN(ROW('03.Muestra'!$D$8:$D$42))+1,""),ROW()-246)),"")</f>
        <v>https://www.comunidad.madrid/tacp/noticias</v>
      </c>
      <c r="D258" s="99" t="s">
        <v>94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Recursos especiales</v>
      </c>
      <c r="C259" s="85" t="str" cm="1">
        <f t="array" ref="C259">IFERROR(INDEX('03.Muestra'!$F$8:$F$42,SMALL(IF("Página Web"='03.Muestra'!$D$8:$D$42,ROW('03.Muestra'!$F$8:$F$42)-MIN(ROW('03.Muestra'!$D$8:$D$42))+1,""),ROW()-246)),"")</f>
        <v>https://www.comunidad.madrid/tacp/novedades/publicacion-recursos-especiales-en-perfil-contratante</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Normativa</v>
      </c>
      <c r="C260" s="85" t="str" cm="1">
        <f t="array" ref="C260">IFERROR(INDEX('03.Muestra'!$F$8:$F$42,SMALL(IF("Página Web"='03.Muestra'!$D$8:$D$42,ROW('03.Muestra'!$F$8:$F$42)-MIN(ROW('03.Muestra'!$D$8:$D$42))+1,""),ROW()-246)),"")</f>
        <v>https://www.comunidad.madrid/es/tacp/normativa</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Organos Competentes</v>
      </c>
      <c r="C261" s="85" t="str" cm="1">
        <f t="array" ref="C261">IFERROR(INDEX('03.Muestra'!$F$8:$F$42,SMALL(IF("Página Web"='03.Muestra'!$D$8:$D$42,ROW('03.Muestra'!$F$8:$F$42)-MIN(ROW('03.Muestra'!$D$8:$D$42))+1,""),ROW()-246)),"")</f>
        <v>https://www.comunidad.madrid/es/tacp/otros-organos-competentes</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https://www.comunidad.madrid/es/tacp/contact</v>
      </c>
      <c r="D262" s="99" t="s">
        <v>94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Accesibilidad</v>
      </c>
      <c r="C263" s="85" t="str" cm="1">
        <f t="array" ref="C263">IFERROR(INDEX('03.Muestra'!$F$8:$F$42,SMALL(IF("Página Web"='03.Muestra'!$D$8:$D$42,ROW('03.Muestra'!$F$8:$F$42)-MIN(ROW('03.Muestra'!$D$8:$D$42))+1,""),ROW()-246)),"")</f>
        <v>https://www.comunidad.madrid/es/tacp/accesibilidad</v>
      </c>
      <c r="D263" s="99" t="s">
        <v>94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ref="D264:D281" si="13">IF(AND(B264&lt;&gt;"",C264&lt;&gt;""),"N/T","")</f>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101</v>
      </c>
      <c r="B284" s="23" t="s">
        <v>93</v>
      </c>
      <c r="C284" s="24" t="s">
        <v>151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Carta del presidente</v>
      </c>
      <c r="C286" s="85" t="str" cm="1">
        <f t="array" ref="C286">IFERROR(INDEX('03.Muestra'!$F$8:$F$42,SMALL(IF("Página Web"='03.Muestra'!$D$8:$D$42,ROW('03.Muestra'!$F$8:$F$42)-MIN(ROW('03.Muestra'!$D$8:$D$42))+1,""),ROW()-284)),"")</f>
        <v>https://www.comunidad.madrid/tacp/carta-del-presidente</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17</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Organización</v>
      </c>
      <c r="C287" s="85" t="str" cm="1">
        <f t="array" ref="C287">IFERROR(INDEX('03.Muestra'!$F$8:$F$42,SMALL(IF("Página Web"='03.Muestra'!$D$8:$D$42,ROW('03.Muestra'!$F$8:$F$42)-MIN(ROW('03.Muestra'!$D$8:$D$42))+1,""),ROW()-284)),"")</f>
        <v>https://www.comunidad.madrid/tacp/el-tribunal/organización</v>
      </c>
      <c r="D287" s="99" t="s">
        <v>106</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Acuerdos</v>
      </c>
      <c r="C288" s="85" t="str" cm="1">
        <f t="array" ref="C288">IFERROR(INDEX('03.Muestra'!$F$8:$F$42,SMALL(IF("Página Web"='03.Muestra'!$D$8:$D$42,ROW('03.Muestra'!$F$8:$F$42)-MIN(ROW('03.Muestra'!$D$8:$D$42))+1,""),ROW()-284)),"")</f>
        <v>https://www.comunidad.madrid/tacp/el-tribunal/acuerdos-del-tacp</v>
      </c>
      <c r="D288" s="99" t="s">
        <v>106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Presentacion</v>
      </c>
      <c r="C289" s="85" t="str" cm="1">
        <f t="array" ref="C289">IFERROR(INDEX('03.Muestra'!$F$8:$F$42,SMALL(IF("Página Web"='03.Muestra'!$D$8:$D$42,ROW('03.Muestra'!$F$8:$F$42)-MIN(ROW('03.Muestra'!$D$8:$D$42))+1,""),ROW()-284)),"")</f>
        <v>https://www.comunidad.madrid/tacp/el-tribunal/presentacion-electronica-e-impresos-normalizados</v>
      </c>
      <c r="D289" s="99" t="s">
        <v>106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Guia</v>
      </c>
      <c r="C290" s="85" t="str" cm="1">
        <f t="array" ref="C290">IFERROR(INDEX('03.Muestra'!$F$8:$F$42,SMALL(IF("Página Web"='03.Muestra'!$D$8:$D$42,ROW('03.Muestra'!$F$8:$F$42)-MIN(ROW('03.Muestra'!$D$8:$D$42))+1,""),ROW()-284)),"")</f>
        <v>https://www.comunidad.madrid/tacp/el-tribunal/guia-informativa-sobre-la-regulacion-del-tribunal-de-contratacion-publica-y-los</v>
      </c>
      <c r="D290" s="99" t="s">
        <v>106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Preguntas</v>
      </c>
      <c r="C291" s="85" t="str" cm="1">
        <f t="array" ref="C291">IFERROR(INDEX('03.Muestra'!$F$8:$F$42,SMALL(IF("Página Web"='03.Muestra'!$D$8:$D$42,ROW('03.Muestra'!$F$8:$F$42)-MIN(ROW('03.Muestra'!$D$8:$D$42))+1,""),ROW()-284)),"")</f>
        <v>https://www.comunidad.madrid/tacp/faq-page</v>
      </c>
      <c r="D291" s="99" t="s">
        <v>106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Histórico</v>
      </c>
      <c r="C292" s="85" t="str" cm="1">
        <f t="array" ref="C292">IFERROR(INDEX('03.Muestra'!$F$8:$F$42,SMALL(IF("Página Web"='03.Muestra'!$D$8:$D$42,ROW('03.Muestra'!$F$8:$F$42)-MIN(ROW('03.Muestra'!$D$8:$D$42))+1,""),ROW()-284)),"")</f>
        <v>https://www.comunidad.madrid/tacp/el-tribunal/historico-resoluciones-de-las-reclamaciones-de-acceso-informacion-publica</v>
      </c>
      <c r="D292" s="99" t="s">
        <v>106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Estudios</v>
      </c>
      <c r="C293" s="85" t="str" cm="1">
        <f t="array" ref="C293">IFERROR(INDEX('03.Muestra'!$F$8:$F$42,SMALL(IF("Página Web"='03.Muestra'!$D$8:$D$42,ROW('03.Muestra'!$F$8:$F$42)-MIN(ROW('03.Muestra'!$D$8:$D$42))+1,""),ROW()-284)),"")</f>
        <v>https://www.comunidad.madrid/tacp/estudios</v>
      </c>
      <c r="D293" s="99" t="s">
        <v>106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Memorias</v>
      </c>
      <c r="C294" s="85" t="str" cm="1">
        <f t="array" ref="C294">IFERROR(INDEX('03.Muestra'!$F$8:$F$42,SMALL(IF("Página Web"='03.Muestra'!$D$8:$D$42,ROW('03.Muestra'!$F$8:$F$42)-MIN(ROW('03.Muestra'!$D$8:$D$42))+1,""),ROW()-284)),"")</f>
        <v>https://www.comunidad.madrid/tacp/memorias</v>
      </c>
      <c r="D294" s="99" t="s">
        <v>106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Busqueda Resol</v>
      </c>
      <c r="C295" s="85" t="str" cm="1">
        <f t="array" ref="C295">IFERROR(INDEX('03.Muestra'!$F$8:$F$42,SMALL(IF("Página Web"='03.Muestra'!$D$8:$D$42,ROW('03.Muestra'!$F$8:$F$42)-MIN(ROW('03.Muestra'!$D$8:$D$42))+1,""),ROW()-284)),"")</f>
        <v>https://www.comunidad.madrid/tacp/busquedaresoluciones</v>
      </c>
      <c r="D295" s="99" t="s">
        <v>106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Novedades</v>
      </c>
      <c r="C296" s="85" t="str" cm="1">
        <f t="array" ref="C296">IFERROR(INDEX('03.Muestra'!$F$8:$F$42,SMALL(IF("Página Web"='03.Muestra'!$D$8:$D$42,ROW('03.Muestra'!$F$8:$F$42)-MIN(ROW('03.Muestra'!$D$8:$D$42))+1,""),ROW()-284)),"")</f>
        <v>https://www.comunidad.madrid/tacp/noticias</v>
      </c>
      <c r="D296" s="99" t="s">
        <v>106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Recursos especiales</v>
      </c>
      <c r="C297" s="85" t="str" cm="1">
        <f t="array" ref="C297">IFERROR(INDEX('03.Muestra'!$F$8:$F$42,SMALL(IF("Página Web"='03.Muestra'!$D$8:$D$42,ROW('03.Muestra'!$F$8:$F$42)-MIN(ROW('03.Muestra'!$D$8:$D$42))+1,""),ROW()-284)),"")</f>
        <v>https://www.comunidad.madrid/tacp/novedades/publicacion-recursos-especiales-en-perfil-contratante</v>
      </c>
      <c r="D297" s="99" t="s">
        <v>106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Normativa</v>
      </c>
      <c r="C298" s="85" t="str" cm="1">
        <f t="array" ref="C298">IFERROR(INDEX('03.Muestra'!$F$8:$F$42,SMALL(IF("Página Web"='03.Muestra'!$D$8:$D$42,ROW('03.Muestra'!$F$8:$F$42)-MIN(ROW('03.Muestra'!$D$8:$D$42))+1,""),ROW()-284)),"")</f>
        <v>https://www.comunidad.madrid/es/tacp/normativa</v>
      </c>
      <c r="D298" s="99" t="s">
        <v>106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Organos Competentes</v>
      </c>
      <c r="C299" s="85" t="str" cm="1">
        <f t="array" ref="C299">IFERROR(INDEX('03.Muestra'!$F$8:$F$42,SMALL(IF("Página Web"='03.Muestra'!$D$8:$D$42,ROW('03.Muestra'!$F$8:$F$42)-MIN(ROW('03.Muestra'!$D$8:$D$42))+1,""),ROW()-284)),"")</f>
        <v>https://www.comunidad.madrid/es/tacp/otros-organos-competentes</v>
      </c>
      <c r="D299" s="99" t="s">
        <v>106</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https://www.comunidad.madrid/es/tacp/contact</v>
      </c>
      <c r="D300" s="99" t="s">
        <v>106</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Accesibilidad</v>
      </c>
      <c r="C301" s="85" t="str" cm="1">
        <f t="array" ref="C301">IFERROR(INDEX('03.Muestra'!$F$8:$F$42,SMALL(IF("Página Web"='03.Muestra'!$D$8:$D$42,ROW('03.Muestra'!$F$8:$F$42)-MIN(ROW('03.Muestra'!$D$8:$D$42))+1,""),ROW()-284)),"")</f>
        <v>https://www.comunidad.madrid/es/tacp/accesibilidad</v>
      </c>
      <c r="D301" s="99" t="s">
        <v>106</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ref="D302:D319" si="15">IF(AND(B302&lt;&gt;"",C302&lt;&gt;""),"N/T","")</f>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101</v>
      </c>
      <c r="B322" s="23" t="s">
        <v>93</v>
      </c>
      <c r="C322" s="24" t="s">
        <v>152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Carta del presidente</v>
      </c>
      <c r="C324" s="85" t="str" cm="1">
        <f t="array" ref="C324">IFERROR(INDEX('03.Muestra'!$F$8:$F$42,SMALL(IF("Página Web"='03.Muestra'!$D$8:$D$42,ROW('03.Muestra'!$F$8:$F$42)-MIN(ROW('03.Muestra'!$D$8:$D$42))+1,""),ROW()-322)),"")</f>
        <v>https://www.comunidad.madrid/tacp/carta-del-presidente</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17</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Organización</v>
      </c>
      <c r="C325" s="85" t="str" cm="1">
        <f t="array" ref="C325">IFERROR(INDEX('03.Muestra'!$F$8:$F$42,SMALL(IF("Página Web"='03.Muestra'!$D$8:$D$42,ROW('03.Muestra'!$F$8:$F$42)-MIN(ROW('03.Muestra'!$D$8:$D$42))+1,""),ROW()-322)),"")</f>
        <v>https://www.comunidad.madrid/tacp/el-tribunal/organización</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Acuerdos</v>
      </c>
      <c r="C326" s="85" t="str" cm="1">
        <f t="array" ref="C326">IFERROR(INDEX('03.Muestra'!$F$8:$F$42,SMALL(IF("Página Web"='03.Muestra'!$D$8:$D$42,ROW('03.Muestra'!$F$8:$F$42)-MIN(ROW('03.Muestra'!$D$8:$D$42))+1,""),ROW()-322)),"")</f>
        <v>https://www.comunidad.madrid/tacp/el-tribunal/acuerdos-del-tacp</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Presentacion</v>
      </c>
      <c r="C327" s="85" t="str" cm="1">
        <f t="array" ref="C327">IFERROR(INDEX('03.Muestra'!$F$8:$F$42,SMALL(IF("Página Web"='03.Muestra'!$D$8:$D$42,ROW('03.Muestra'!$F$8:$F$42)-MIN(ROW('03.Muestra'!$D$8:$D$42))+1,""),ROW()-322)),"")</f>
        <v>https://www.comunidad.madrid/tacp/el-tribunal/presentacion-electronica-e-impresos-normalizados</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Guia</v>
      </c>
      <c r="C328" s="85" t="str" cm="1">
        <f t="array" ref="C328">IFERROR(INDEX('03.Muestra'!$F$8:$F$42,SMALL(IF("Página Web"='03.Muestra'!$D$8:$D$42,ROW('03.Muestra'!$F$8:$F$42)-MIN(ROW('03.Muestra'!$D$8:$D$42))+1,""),ROW()-322)),"")</f>
        <v>https://www.comunidad.madrid/tacp/el-tribunal/guia-informativa-sobre-la-regulacion-del-tribunal-de-contratacion-publica-y-los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Preguntas</v>
      </c>
      <c r="C329" s="85" t="str" cm="1">
        <f t="array" ref="C329">IFERROR(INDEX('03.Muestra'!$F$8:$F$42,SMALL(IF("Página Web"='03.Muestra'!$D$8:$D$42,ROW('03.Muestra'!$F$8:$F$42)-MIN(ROW('03.Muestra'!$D$8:$D$42))+1,""),ROW()-322)),"")</f>
        <v>https://www.comunidad.madrid/tacp/faq-page</v>
      </c>
      <c r="D329" s="99" t="s">
        <v>106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Histórico</v>
      </c>
      <c r="C330" s="85" t="str" cm="1">
        <f t="array" ref="C330">IFERROR(INDEX('03.Muestra'!$F$8:$F$42,SMALL(IF("Página Web"='03.Muestra'!$D$8:$D$42,ROW('03.Muestra'!$F$8:$F$42)-MIN(ROW('03.Muestra'!$D$8:$D$42))+1,""),ROW()-322)),"")</f>
        <v>https://www.comunidad.madrid/tacp/el-tribunal/historico-resoluciones-de-las-reclamaciones-de-acceso-informacion-publica</v>
      </c>
      <c r="D330" s="99" t="s">
        <v>106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Estudios</v>
      </c>
      <c r="C331" s="85" t="str" cm="1">
        <f t="array" ref="C331">IFERROR(INDEX('03.Muestra'!$F$8:$F$42,SMALL(IF("Página Web"='03.Muestra'!$D$8:$D$42,ROW('03.Muestra'!$F$8:$F$42)-MIN(ROW('03.Muestra'!$D$8:$D$42))+1,""),ROW()-322)),"")</f>
        <v>https://www.comunidad.madrid/tacp/estudios</v>
      </c>
      <c r="D331" s="99" t="s">
        <v>106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Memorias</v>
      </c>
      <c r="C332" s="85" t="str" cm="1">
        <f t="array" ref="C332">IFERROR(INDEX('03.Muestra'!$F$8:$F$42,SMALL(IF("Página Web"='03.Muestra'!$D$8:$D$42,ROW('03.Muestra'!$F$8:$F$42)-MIN(ROW('03.Muestra'!$D$8:$D$42))+1,""),ROW()-322)),"")</f>
        <v>https://www.comunidad.madrid/tacp/memorias</v>
      </c>
      <c r="D332" s="99" t="s">
        <v>106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Busqueda Resol</v>
      </c>
      <c r="C333" s="85" t="str" cm="1">
        <f t="array" ref="C333">IFERROR(INDEX('03.Muestra'!$F$8:$F$42,SMALL(IF("Página Web"='03.Muestra'!$D$8:$D$42,ROW('03.Muestra'!$F$8:$F$42)-MIN(ROW('03.Muestra'!$D$8:$D$42))+1,""),ROW()-322)),"")</f>
        <v>https://www.comunidad.madrid/tacp/busquedaresoluciones</v>
      </c>
      <c r="D333" s="99" t="s">
        <v>106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Novedades</v>
      </c>
      <c r="C334" s="85" t="str" cm="1">
        <f t="array" ref="C334">IFERROR(INDEX('03.Muestra'!$F$8:$F$42,SMALL(IF("Página Web"='03.Muestra'!$D$8:$D$42,ROW('03.Muestra'!$F$8:$F$42)-MIN(ROW('03.Muestra'!$D$8:$D$42))+1,""),ROW()-322)),"")</f>
        <v>https://www.comunidad.madrid/tacp/noticias</v>
      </c>
      <c r="D334" s="99" t="s">
        <v>106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Recursos especiales</v>
      </c>
      <c r="C335" s="85" t="str" cm="1">
        <f t="array" ref="C335">IFERROR(INDEX('03.Muestra'!$F$8:$F$42,SMALL(IF("Página Web"='03.Muestra'!$D$8:$D$42,ROW('03.Muestra'!$F$8:$F$42)-MIN(ROW('03.Muestra'!$D$8:$D$42))+1,""),ROW()-322)),"")</f>
        <v>https://www.comunidad.madrid/tacp/novedades/publicacion-recursos-especiales-en-perfil-contratante</v>
      </c>
      <c r="D335" s="99" t="s">
        <v>106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Normativa</v>
      </c>
      <c r="C336" s="85" t="str" cm="1">
        <f t="array" ref="C336">IFERROR(INDEX('03.Muestra'!$F$8:$F$42,SMALL(IF("Página Web"='03.Muestra'!$D$8:$D$42,ROW('03.Muestra'!$F$8:$F$42)-MIN(ROW('03.Muestra'!$D$8:$D$42))+1,""),ROW()-322)),"")</f>
        <v>https://www.comunidad.madrid/es/tacp/normativa</v>
      </c>
      <c r="D336" s="99" t="s">
        <v>106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Organos Competentes</v>
      </c>
      <c r="C337" s="85" t="str" cm="1">
        <f t="array" ref="C337">IFERROR(INDEX('03.Muestra'!$F$8:$F$42,SMALL(IF("Página Web"='03.Muestra'!$D$8:$D$42,ROW('03.Muestra'!$F$8:$F$42)-MIN(ROW('03.Muestra'!$D$8:$D$42))+1,""),ROW()-322)),"")</f>
        <v>https://www.comunidad.madrid/es/tacp/otros-organos-competentes</v>
      </c>
      <c r="D337" s="99" t="s">
        <v>106</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https://www.comunidad.madrid/es/tacp/contact</v>
      </c>
      <c r="D338" s="99" t="s">
        <v>106</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Accesibilidad</v>
      </c>
      <c r="C339" s="85" t="str" cm="1">
        <f t="array" ref="C339">IFERROR(INDEX('03.Muestra'!$F$8:$F$42,SMALL(IF("Página Web"='03.Muestra'!$D$8:$D$42,ROW('03.Muestra'!$F$8:$F$42)-MIN(ROW('03.Muestra'!$D$8:$D$42))+1,""),ROW()-322)),"")</f>
        <v>https://www.comunidad.madrid/es/tacp/accesibilidad</v>
      </c>
      <c r="D339" s="99" t="s">
        <v>106</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ref="D340:D357" si="17">IF(AND(B340&lt;&gt;"",C340&lt;&gt;""),"N/T","")</f>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101</v>
      </c>
      <c r="B360" s="23" t="s">
        <v>93</v>
      </c>
      <c r="C360" s="24" t="s">
        <v>153</v>
      </c>
      <c r="D360" s="25" t="s">
        <v>103</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https://www.comunidad.madrid/tacp/</v>
      </c>
      <c r="D361" s="99" t="s">
        <v>94</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Carta del presidente</v>
      </c>
      <c r="C362" s="85" t="str" cm="1">
        <f t="array" ref="C362">IFERROR(INDEX('03.Muestra'!$F$8:$F$42,SMALL(IF("Página Web"='03.Muestra'!$D$8:$D$42,ROW('03.Muestra'!$F$8:$F$42)-MIN(ROW('03.Muestra'!$D$8:$D$42))+1,""),ROW()-360)),"")</f>
        <v>https://www.comunidad.madrid/tacp/carta-del-presidente</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13</v>
      </c>
      <c r="I362" s="91">
        <f ca="1">COUNTIF($D361:INDIRECT("$D" &amp;  SUM(ROW()-1,'03.Muestra'!$D$45)-1),I361)</f>
        <v>0</v>
      </c>
      <c r="J362" s="91">
        <f ca="1">COUNTIF($D361:INDIRECT("$D" &amp;  SUM(ROW()-1,'03.Muestra'!$D$45)-1),J361)</f>
        <v>4</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Organización</v>
      </c>
      <c r="C363" s="85" t="str" cm="1">
        <f t="array" ref="C363">IFERROR(INDEX('03.Muestra'!$F$8:$F$42,SMALL(IF("Página Web"='03.Muestra'!$D$8:$D$42,ROW('03.Muestra'!$F$8:$F$42)-MIN(ROW('03.Muestra'!$D$8:$D$42))+1,""),ROW()-360)),"")</f>
        <v>https://www.comunidad.madrid/tacp/el-tribunal/organización</v>
      </c>
      <c r="D363" s="99" t="s">
        <v>106</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Acuerdos</v>
      </c>
      <c r="C364" s="85" t="str" cm="1">
        <f t="array" ref="C364">IFERROR(INDEX('03.Muestra'!$F$8:$F$42,SMALL(IF("Página Web"='03.Muestra'!$D$8:$D$42,ROW('03.Muestra'!$F$8:$F$42)-MIN(ROW('03.Muestra'!$D$8:$D$42))+1,""),ROW()-360)),"")</f>
        <v>https://www.comunidad.madrid/tacp/el-tribunal/acuerdos-del-tacp</v>
      </c>
      <c r="D364" s="99" t="s">
        <v>106</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Presentacion</v>
      </c>
      <c r="C365" s="85" t="str" cm="1">
        <f t="array" ref="C365">IFERROR(INDEX('03.Muestra'!$F$8:$F$42,SMALL(IF("Página Web"='03.Muestra'!$D$8:$D$42,ROW('03.Muestra'!$F$8:$F$42)-MIN(ROW('03.Muestra'!$D$8:$D$42))+1,""),ROW()-360)),"")</f>
        <v>https://www.comunidad.madrid/tacp/el-tribunal/presentacion-electronica-e-impresos-normalizados</v>
      </c>
      <c r="D365" s="99" t="s">
        <v>106</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Guia</v>
      </c>
      <c r="C366" s="85" t="str" cm="1">
        <f t="array" ref="C366">IFERROR(INDEX('03.Muestra'!$F$8:$F$42,SMALL(IF("Página Web"='03.Muestra'!$D$8:$D$42,ROW('03.Muestra'!$F$8:$F$42)-MIN(ROW('03.Muestra'!$D$8:$D$42))+1,""),ROW()-360)),"")</f>
        <v>https://www.comunidad.madrid/tacp/el-tribunal/guia-informativa-sobre-la-regulacion-del-tribunal-de-contratacion-publica-y-los</v>
      </c>
      <c r="D366" s="99" t="s">
        <v>106</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Preguntas</v>
      </c>
      <c r="C367" s="85" t="str" cm="1">
        <f t="array" ref="C367">IFERROR(INDEX('03.Muestra'!$F$8:$F$42,SMALL(IF("Página Web"='03.Muestra'!$D$8:$D$42,ROW('03.Muestra'!$F$8:$F$42)-MIN(ROW('03.Muestra'!$D$8:$D$42))+1,""),ROW()-360)),"")</f>
        <v>https://www.comunidad.madrid/tacp/faq-page</v>
      </c>
      <c r="D367" s="99" t="s">
        <v>106</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Histórico</v>
      </c>
      <c r="C368" s="85" t="str" cm="1">
        <f t="array" ref="C368">IFERROR(INDEX('03.Muestra'!$F$8:$F$42,SMALL(IF("Página Web"='03.Muestra'!$D$8:$D$42,ROW('03.Muestra'!$F$8:$F$42)-MIN(ROW('03.Muestra'!$D$8:$D$42))+1,""),ROW()-360)),"")</f>
        <v>https://www.comunidad.madrid/tacp/el-tribunal/historico-resoluciones-de-las-reclamaciones-de-acceso-informacion-publica</v>
      </c>
      <c r="D368" s="99" t="s">
        <v>106</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Estudios</v>
      </c>
      <c r="C369" s="85" t="str" cm="1">
        <f t="array" ref="C369">IFERROR(INDEX('03.Muestra'!$F$8:$F$42,SMALL(IF("Página Web"='03.Muestra'!$D$8:$D$42,ROW('03.Muestra'!$F$8:$F$42)-MIN(ROW('03.Muestra'!$D$8:$D$42))+1,""),ROW()-360)),"")</f>
        <v>https://www.comunidad.madrid/tacp/estudios</v>
      </c>
      <c r="D369" s="99" t="s">
        <v>106</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Memorias</v>
      </c>
      <c r="C370" s="85" t="str" cm="1">
        <f t="array" ref="C370">IFERROR(INDEX('03.Muestra'!$F$8:$F$42,SMALL(IF("Página Web"='03.Muestra'!$D$8:$D$42,ROW('03.Muestra'!$F$8:$F$42)-MIN(ROW('03.Muestra'!$D$8:$D$42))+1,""),ROW()-360)),"")</f>
        <v>https://www.comunidad.madrid/tacp/memorias</v>
      </c>
      <c r="D370" s="99" t="s">
        <v>106</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Busqueda Resol</v>
      </c>
      <c r="C371" s="85" t="str" cm="1">
        <f t="array" ref="C371">IFERROR(INDEX('03.Muestra'!$F$8:$F$42,SMALL(IF("Página Web"='03.Muestra'!$D$8:$D$42,ROW('03.Muestra'!$F$8:$F$42)-MIN(ROW('03.Muestra'!$D$8:$D$42))+1,""),ROW()-360)),"")</f>
        <v>https://www.comunidad.madrid/tacp/busquedaresoluciones</v>
      </c>
      <c r="D371" s="99" t="s">
        <v>94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Novedades</v>
      </c>
      <c r="C372" s="85" t="str" cm="1">
        <f t="array" ref="C372">IFERROR(INDEX('03.Muestra'!$F$8:$F$42,SMALL(IF("Página Web"='03.Muestra'!$D$8:$D$42,ROW('03.Muestra'!$F$8:$F$42)-MIN(ROW('03.Muestra'!$D$8:$D$42))+1,""),ROW()-360)),"")</f>
        <v>https://www.comunidad.madrid/tacp/noticias</v>
      </c>
      <c r="D372" s="99" t="s">
        <v>94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Recursos especiales</v>
      </c>
      <c r="C373" s="85" t="str" cm="1">
        <f t="array" ref="C373">IFERROR(INDEX('03.Muestra'!$F$8:$F$42,SMALL(IF("Página Web"='03.Muestra'!$D$8:$D$42,ROW('03.Muestra'!$F$8:$F$42)-MIN(ROW('03.Muestra'!$D$8:$D$42))+1,""),ROW()-360)),"")</f>
        <v>https://www.comunidad.madrid/tacp/novedades/publicacion-recursos-especiales-en-perfil-contratante</v>
      </c>
      <c r="D373" s="99" t="s">
        <v>106</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Normativa</v>
      </c>
      <c r="C374" s="85" t="str" cm="1">
        <f t="array" ref="C374">IFERROR(INDEX('03.Muestra'!$F$8:$F$42,SMALL(IF("Página Web"='03.Muestra'!$D$8:$D$42,ROW('03.Muestra'!$F$8:$F$42)-MIN(ROW('03.Muestra'!$D$8:$D$42))+1,""),ROW()-360)),"")</f>
        <v>https://www.comunidad.madrid/es/tacp/normativa</v>
      </c>
      <c r="D374" s="99" t="s">
        <v>106</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Organos Competentes</v>
      </c>
      <c r="C375" s="85" t="str" cm="1">
        <f t="array" ref="C375">IFERROR(INDEX('03.Muestra'!$F$8:$F$42,SMALL(IF("Página Web"='03.Muestra'!$D$8:$D$42,ROW('03.Muestra'!$F$8:$F$42)-MIN(ROW('03.Muestra'!$D$8:$D$42))+1,""),ROW()-360)),"")</f>
        <v>https://www.comunidad.madrid/es/tacp/otros-organos-competentes</v>
      </c>
      <c r="D375" s="99" t="s">
        <v>106</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https://www.comunidad.madrid/es/tacp/contact</v>
      </c>
      <c r="D376" s="99" t="s">
        <v>94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Accesibilidad</v>
      </c>
      <c r="C377" s="85" t="str" cm="1">
        <f t="array" ref="C377">IFERROR(INDEX('03.Muestra'!$F$8:$F$42,SMALL(IF("Página Web"='03.Muestra'!$D$8:$D$42,ROW('03.Muestra'!$F$8:$F$42)-MIN(ROW('03.Muestra'!$D$8:$D$42))+1,""),ROW()-360)),"")</f>
        <v>https://www.comunidad.madrid/es/tacp/accesibilidad</v>
      </c>
      <c r="D377" s="99" t="s">
        <v>106</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ref="D378:D395" si="19">IF(AND(B378&lt;&gt;"",C378&lt;&gt;""),"N/T","")</f>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101</v>
      </c>
      <c r="B398" s="23" t="s">
        <v>93</v>
      </c>
      <c r="C398" s="24" t="s">
        <v>154</v>
      </c>
      <c r="D398" s="25" t="s">
        <v>103</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https://www.comunidad.madrid/tacp/</v>
      </c>
      <c r="D399" s="99" t="s">
        <v>106</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Carta del presidente</v>
      </c>
      <c r="C400" s="85" t="str" cm="1">
        <f t="array" ref="C400">IFERROR(INDEX('03.Muestra'!$F$8:$F$42,SMALL(IF("Página Web"='03.Muestra'!$D$8:$D$42,ROW('03.Muestra'!$F$8:$F$42)-MIN(ROW('03.Muestra'!$D$8:$D$42))+1,""),ROW()-398)),"")</f>
        <v>https://www.comunidad.madrid/tacp/carta-del-presidente</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17</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Organización</v>
      </c>
      <c r="C401" s="85" t="str" cm="1">
        <f t="array" ref="C401">IFERROR(INDEX('03.Muestra'!$F$8:$F$42,SMALL(IF("Página Web"='03.Muestra'!$D$8:$D$42,ROW('03.Muestra'!$F$8:$F$42)-MIN(ROW('03.Muestra'!$D$8:$D$42))+1,""),ROW()-398)),"")</f>
        <v>https://www.comunidad.madrid/tacp/el-tribunal/organización</v>
      </c>
      <c r="D401" s="99" t="s">
        <v>106</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Acuerdos</v>
      </c>
      <c r="C402" s="85" t="str" cm="1">
        <f t="array" ref="C402">IFERROR(INDEX('03.Muestra'!$F$8:$F$42,SMALL(IF("Página Web"='03.Muestra'!$D$8:$D$42,ROW('03.Muestra'!$F$8:$F$42)-MIN(ROW('03.Muestra'!$D$8:$D$42))+1,""),ROW()-398)),"")</f>
        <v>https://www.comunidad.madrid/tacp/el-tribunal/acuerdos-del-tacp</v>
      </c>
      <c r="D402" s="99" t="s">
        <v>106</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Presentacion</v>
      </c>
      <c r="C403" s="85" t="str" cm="1">
        <f t="array" ref="C403">IFERROR(INDEX('03.Muestra'!$F$8:$F$42,SMALL(IF("Página Web"='03.Muestra'!$D$8:$D$42,ROW('03.Muestra'!$F$8:$F$42)-MIN(ROW('03.Muestra'!$D$8:$D$42))+1,""),ROW()-398)),"")</f>
        <v>https://www.comunidad.madrid/tacp/el-tribunal/presentacion-electronica-e-impresos-normalizados</v>
      </c>
      <c r="D403" s="99" t="s">
        <v>106</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Guia</v>
      </c>
      <c r="C404" s="85" t="str" cm="1">
        <f t="array" ref="C404">IFERROR(INDEX('03.Muestra'!$F$8:$F$42,SMALL(IF("Página Web"='03.Muestra'!$D$8:$D$42,ROW('03.Muestra'!$F$8:$F$42)-MIN(ROW('03.Muestra'!$D$8:$D$42))+1,""),ROW()-398)),"")</f>
        <v>https://www.comunidad.madrid/tacp/el-tribunal/guia-informativa-sobre-la-regulacion-del-tribunal-de-contratacion-publica-y-los</v>
      </c>
      <c r="D404" s="99" t="s">
        <v>106</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Preguntas</v>
      </c>
      <c r="C405" s="85" t="str" cm="1">
        <f t="array" ref="C405">IFERROR(INDEX('03.Muestra'!$F$8:$F$42,SMALL(IF("Página Web"='03.Muestra'!$D$8:$D$42,ROW('03.Muestra'!$F$8:$F$42)-MIN(ROW('03.Muestra'!$D$8:$D$42))+1,""),ROW()-398)),"")</f>
        <v>https://www.comunidad.madrid/tacp/faq-page</v>
      </c>
      <c r="D405" s="99" t="s">
        <v>106</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Histórico</v>
      </c>
      <c r="C406" s="85" t="str" cm="1">
        <f t="array" ref="C406">IFERROR(INDEX('03.Muestra'!$F$8:$F$42,SMALL(IF("Página Web"='03.Muestra'!$D$8:$D$42,ROW('03.Muestra'!$F$8:$F$42)-MIN(ROW('03.Muestra'!$D$8:$D$42))+1,""),ROW()-398)),"")</f>
        <v>https://www.comunidad.madrid/tacp/el-tribunal/historico-resoluciones-de-las-reclamaciones-de-acceso-informacion-publica</v>
      </c>
      <c r="D406" s="99" t="s">
        <v>106</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Estudios</v>
      </c>
      <c r="C407" s="85" t="str" cm="1">
        <f t="array" ref="C407">IFERROR(INDEX('03.Muestra'!$F$8:$F$42,SMALL(IF("Página Web"='03.Muestra'!$D$8:$D$42,ROW('03.Muestra'!$F$8:$F$42)-MIN(ROW('03.Muestra'!$D$8:$D$42))+1,""),ROW()-398)),"")</f>
        <v>https://www.comunidad.madrid/tacp/estudios</v>
      </c>
      <c r="D407" s="99" t="s">
        <v>106</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Memorias</v>
      </c>
      <c r="C408" s="85" t="str" cm="1">
        <f t="array" ref="C408">IFERROR(INDEX('03.Muestra'!$F$8:$F$42,SMALL(IF("Página Web"='03.Muestra'!$D$8:$D$42,ROW('03.Muestra'!$F$8:$F$42)-MIN(ROW('03.Muestra'!$D$8:$D$42))+1,""),ROW()-398)),"")</f>
        <v>https://www.comunidad.madrid/tacp/memorias</v>
      </c>
      <c r="D408" s="99" t="s">
        <v>106</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Busqueda Resol</v>
      </c>
      <c r="C409" s="85" t="str" cm="1">
        <f t="array" ref="C409">IFERROR(INDEX('03.Muestra'!$F$8:$F$42,SMALL(IF("Página Web"='03.Muestra'!$D$8:$D$42,ROW('03.Muestra'!$F$8:$F$42)-MIN(ROW('03.Muestra'!$D$8:$D$42))+1,""),ROW()-398)),"")</f>
        <v>https://www.comunidad.madrid/tacp/busquedaresoluciones</v>
      </c>
      <c r="D409" s="99" t="s">
        <v>106</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Novedades</v>
      </c>
      <c r="C410" s="85" t="str" cm="1">
        <f t="array" ref="C410">IFERROR(INDEX('03.Muestra'!$F$8:$F$42,SMALL(IF("Página Web"='03.Muestra'!$D$8:$D$42,ROW('03.Muestra'!$F$8:$F$42)-MIN(ROW('03.Muestra'!$D$8:$D$42))+1,""),ROW()-398)),"")</f>
        <v>https://www.comunidad.madrid/tacp/noticias</v>
      </c>
      <c r="D410" s="99" t="s">
        <v>106</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Recursos especiales</v>
      </c>
      <c r="C411" s="85" t="str" cm="1">
        <f t="array" ref="C411">IFERROR(INDEX('03.Muestra'!$F$8:$F$42,SMALL(IF("Página Web"='03.Muestra'!$D$8:$D$42,ROW('03.Muestra'!$F$8:$F$42)-MIN(ROW('03.Muestra'!$D$8:$D$42))+1,""),ROW()-398)),"")</f>
        <v>https://www.comunidad.madrid/tacp/novedades/publicacion-recursos-especiales-en-perfil-contratante</v>
      </c>
      <c r="D411" s="99" t="s">
        <v>106</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Normativa</v>
      </c>
      <c r="C412" s="85" t="str" cm="1">
        <f t="array" ref="C412">IFERROR(INDEX('03.Muestra'!$F$8:$F$42,SMALL(IF("Página Web"='03.Muestra'!$D$8:$D$42,ROW('03.Muestra'!$F$8:$F$42)-MIN(ROW('03.Muestra'!$D$8:$D$42))+1,""),ROW()-398)),"")</f>
        <v>https://www.comunidad.madrid/es/tacp/normativa</v>
      </c>
      <c r="D412" s="99" t="s">
        <v>106</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Organos Competentes</v>
      </c>
      <c r="C413" s="85" t="str" cm="1">
        <f t="array" ref="C413">IFERROR(INDEX('03.Muestra'!$F$8:$F$42,SMALL(IF("Página Web"='03.Muestra'!$D$8:$D$42,ROW('03.Muestra'!$F$8:$F$42)-MIN(ROW('03.Muestra'!$D$8:$D$42))+1,""),ROW()-398)),"")</f>
        <v>https://www.comunidad.madrid/es/tacp/otros-organos-competentes</v>
      </c>
      <c r="D413" s="99" t="s">
        <v>106</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https://www.comunidad.madrid/es/tacp/contact</v>
      </c>
      <c r="D414" s="99" t="s">
        <v>106</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Accesibilidad</v>
      </c>
      <c r="C415" s="85" t="str" cm="1">
        <f t="array" ref="C415">IFERROR(INDEX('03.Muestra'!$F$8:$F$42,SMALL(IF("Página Web"='03.Muestra'!$D$8:$D$42,ROW('03.Muestra'!$F$8:$F$42)-MIN(ROW('03.Muestra'!$D$8:$D$42))+1,""),ROW()-398)),"")</f>
        <v>https://www.comunidad.madrid/es/tacp/accesibilidad</v>
      </c>
      <c r="D415" s="99" t="s">
        <v>106</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ref="D416:D433" si="21">IF(AND(B416&lt;&gt;"",C416&lt;&gt;""),"N/T","")</f>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101</v>
      </c>
      <c r="B436" s="23" t="s">
        <v>93</v>
      </c>
      <c r="C436" s="24" t="s">
        <v>155</v>
      </c>
      <c r="D436" s="25" t="s">
        <v>103</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https://www.comunidad.madrid/tacp/</v>
      </c>
      <c r="D437" s="99" t="s">
        <v>106</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Carta del presidente</v>
      </c>
      <c r="C438" s="85" t="str" cm="1">
        <f t="array" ref="C438">IFERROR(INDEX('03.Muestra'!$F$8:$F$42,SMALL(IF("Página Web"='03.Muestra'!$D$8:$D$42,ROW('03.Muestra'!$F$8:$F$42)-MIN(ROW('03.Muestra'!$D$8:$D$42))+1,""),ROW()-436)),"")</f>
        <v>https://www.comunidad.madrid/tacp/carta-del-presidente</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17</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Organización</v>
      </c>
      <c r="C439" s="85" t="str" cm="1">
        <f t="array" ref="C439">IFERROR(INDEX('03.Muestra'!$F$8:$F$42,SMALL(IF("Página Web"='03.Muestra'!$D$8:$D$42,ROW('03.Muestra'!$F$8:$F$42)-MIN(ROW('03.Muestra'!$D$8:$D$42))+1,""),ROW()-436)),"")</f>
        <v>https://www.comunidad.madrid/tacp/el-tribunal/organización</v>
      </c>
      <c r="D439" s="99" t="s">
        <v>106</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Acuerdos</v>
      </c>
      <c r="C440" s="85" t="str" cm="1">
        <f t="array" ref="C440">IFERROR(INDEX('03.Muestra'!$F$8:$F$42,SMALL(IF("Página Web"='03.Muestra'!$D$8:$D$42,ROW('03.Muestra'!$F$8:$F$42)-MIN(ROW('03.Muestra'!$D$8:$D$42))+1,""),ROW()-436)),"")</f>
        <v>https://www.comunidad.madrid/tacp/el-tribunal/acuerdos-del-tacp</v>
      </c>
      <c r="D440" s="99" t="s">
        <v>106</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Presentacion</v>
      </c>
      <c r="C441" s="85" t="str" cm="1">
        <f t="array" ref="C441">IFERROR(INDEX('03.Muestra'!$F$8:$F$42,SMALL(IF("Página Web"='03.Muestra'!$D$8:$D$42,ROW('03.Muestra'!$F$8:$F$42)-MIN(ROW('03.Muestra'!$D$8:$D$42))+1,""),ROW()-436)),"")</f>
        <v>https://www.comunidad.madrid/tacp/el-tribunal/presentacion-electronica-e-impresos-normalizados</v>
      </c>
      <c r="D441" s="99" t="s">
        <v>106</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Guia</v>
      </c>
      <c r="C442" s="85" t="str" cm="1">
        <f t="array" ref="C442">IFERROR(INDEX('03.Muestra'!$F$8:$F$42,SMALL(IF("Página Web"='03.Muestra'!$D$8:$D$42,ROW('03.Muestra'!$F$8:$F$42)-MIN(ROW('03.Muestra'!$D$8:$D$42))+1,""),ROW()-436)),"")</f>
        <v>https://www.comunidad.madrid/tacp/el-tribunal/guia-informativa-sobre-la-regulacion-del-tribunal-de-contratacion-publica-y-los</v>
      </c>
      <c r="D442" s="99" t="s">
        <v>106</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Preguntas</v>
      </c>
      <c r="C443" s="85" t="str" cm="1">
        <f t="array" ref="C443">IFERROR(INDEX('03.Muestra'!$F$8:$F$42,SMALL(IF("Página Web"='03.Muestra'!$D$8:$D$42,ROW('03.Muestra'!$F$8:$F$42)-MIN(ROW('03.Muestra'!$D$8:$D$42))+1,""),ROW()-436)),"")</f>
        <v>https://www.comunidad.madrid/tacp/faq-page</v>
      </c>
      <c r="D443" s="99" t="s">
        <v>106</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Histórico</v>
      </c>
      <c r="C444" s="85" t="str" cm="1">
        <f t="array" ref="C444">IFERROR(INDEX('03.Muestra'!$F$8:$F$42,SMALL(IF("Página Web"='03.Muestra'!$D$8:$D$42,ROW('03.Muestra'!$F$8:$F$42)-MIN(ROW('03.Muestra'!$D$8:$D$42))+1,""),ROW()-436)),"")</f>
        <v>https://www.comunidad.madrid/tacp/el-tribunal/historico-resoluciones-de-las-reclamaciones-de-acceso-informacion-publica</v>
      </c>
      <c r="D444" s="99" t="s">
        <v>106</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Estudios</v>
      </c>
      <c r="C445" s="85" t="str" cm="1">
        <f t="array" ref="C445">IFERROR(INDEX('03.Muestra'!$F$8:$F$42,SMALL(IF("Página Web"='03.Muestra'!$D$8:$D$42,ROW('03.Muestra'!$F$8:$F$42)-MIN(ROW('03.Muestra'!$D$8:$D$42))+1,""),ROW()-436)),"")</f>
        <v>https://www.comunidad.madrid/tacp/estudios</v>
      </c>
      <c r="D445" s="99" t="s">
        <v>106</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Memorias</v>
      </c>
      <c r="C446" s="85" t="str" cm="1">
        <f t="array" ref="C446">IFERROR(INDEX('03.Muestra'!$F$8:$F$42,SMALL(IF("Página Web"='03.Muestra'!$D$8:$D$42,ROW('03.Muestra'!$F$8:$F$42)-MIN(ROW('03.Muestra'!$D$8:$D$42))+1,""),ROW()-436)),"")</f>
        <v>https://www.comunidad.madrid/tacp/memorias</v>
      </c>
      <c r="D446" s="99" t="s">
        <v>106</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Busqueda Resol</v>
      </c>
      <c r="C447" s="85" t="str" cm="1">
        <f t="array" ref="C447">IFERROR(INDEX('03.Muestra'!$F$8:$F$42,SMALL(IF("Página Web"='03.Muestra'!$D$8:$D$42,ROW('03.Muestra'!$F$8:$F$42)-MIN(ROW('03.Muestra'!$D$8:$D$42))+1,""),ROW()-436)),"")</f>
        <v>https://www.comunidad.madrid/tacp/busquedaresoluciones</v>
      </c>
      <c r="D447" s="99" t="s">
        <v>106</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Novedades</v>
      </c>
      <c r="C448" s="85" t="str" cm="1">
        <f t="array" ref="C448">IFERROR(INDEX('03.Muestra'!$F$8:$F$42,SMALL(IF("Página Web"='03.Muestra'!$D$8:$D$42,ROW('03.Muestra'!$F$8:$F$42)-MIN(ROW('03.Muestra'!$D$8:$D$42))+1,""),ROW()-436)),"")</f>
        <v>https://www.comunidad.madrid/tacp/noticias</v>
      </c>
      <c r="D448" s="99" t="s">
        <v>106</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Recursos especiales</v>
      </c>
      <c r="C449" s="85" t="str" cm="1">
        <f t="array" ref="C449">IFERROR(INDEX('03.Muestra'!$F$8:$F$42,SMALL(IF("Página Web"='03.Muestra'!$D$8:$D$42,ROW('03.Muestra'!$F$8:$F$42)-MIN(ROW('03.Muestra'!$D$8:$D$42))+1,""),ROW()-436)),"")</f>
        <v>https://www.comunidad.madrid/tacp/novedades/publicacion-recursos-especiales-en-perfil-contratante</v>
      </c>
      <c r="D449" s="99" t="s">
        <v>106</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Normativa</v>
      </c>
      <c r="C450" s="85" t="str" cm="1">
        <f t="array" ref="C450">IFERROR(INDEX('03.Muestra'!$F$8:$F$42,SMALL(IF("Página Web"='03.Muestra'!$D$8:$D$42,ROW('03.Muestra'!$F$8:$F$42)-MIN(ROW('03.Muestra'!$D$8:$D$42))+1,""),ROW()-436)),"")</f>
        <v>https://www.comunidad.madrid/es/tacp/normativa</v>
      </c>
      <c r="D450" s="99" t="s">
        <v>106</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Organos Competentes</v>
      </c>
      <c r="C451" s="85" t="str" cm="1">
        <f t="array" ref="C451">IFERROR(INDEX('03.Muestra'!$F$8:$F$42,SMALL(IF("Página Web"='03.Muestra'!$D$8:$D$42,ROW('03.Muestra'!$F$8:$F$42)-MIN(ROW('03.Muestra'!$D$8:$D$42))+1,""),ROW()-436)),"")</f>
        <v>https://www.comunidad.madrid/es/tacp/otros-organos-competentes</v>
      </c>
      <c r="D451" s="99" t="s">
        <v>106</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https://www.comunidad.madrid/es/tacp/contact</v>
      </c>
      <c r="D452" s="99" t="s">
        <v>106</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Accesibilidad</v>
      </c>
      <c r="C453" s="85" t="str" cm="1">
        <f t="array" ref="C453">IFERROR(INDEX('03.Muestra'!$F$8:$F$42,SMALL(IF("Página Web"='03.Muestra'!$D$8:$D$42,ROW('03.Muestra'!$F$8:$F$42)-MIN(ROW('03.Muestra'!$D$8:$D$42))+1,""),ROW()-436)),"")</f>
        <v>https://www.comunidad.madrid/es/tacp/accesibilidad</v>
      </c>
      <c r="D453" s="99" t="s">
        <v>106</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ref="D454:D471" si="23">IF(AND(B454&lt;&gt;"",C454&lt;&gt;""),"N/T","")</f>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101</v>
      </c>
      <c r="B474" s="23" t="s">
        <v>93</v>
      </c>
      <c r="C474" s="24" t="s">
        <v>156</v>
      </c>
      <c r="D474" s="25" t="s">
        <v>103</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https://www.comunidad.madrid/tacp/</v>
      </c>
      <c r="D475" s="99" t="s">
        <v>94</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Carta del presidente</v>
      </c>
      <c r="C476" s="85" t="str" cm="1">
        <f t="array" ref="C476">IFERROR(INDEX('03.Muestra'!$F$8:$F$42,SMALL(IF("Página Web"='03.Muestra'!$D$8:$D$42,ROW('03.Muestra'!$F$8:$F$42)-MIN(ROW('03.Muestra'!$D$8:$D$42))+1,""),ROW()-474)),"")</f>
        <v>https://www.comunidad.madrid/tacp/carta-del-presidente</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17</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Organización</v>
      </c>
      <c r="C477" s="85" t="str" cm="1">
        <f t="array" ref="C477">IFERROR(INDEX('03.Muestra'!$F$8:$F$42,SMALL(IF("Página Web"='03.Muestra'!$D$8:$D$42,ROW('03.Muestra'!$F$8:$F$42)-MIN(ROW('03.Muestra'!$D$8:$D$42))+1,""),ROW()-474)),"")</f>
        <v>https://www.comunidad.madrid/tacp/el-tribunal/organización</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Acuerdos</v>
      </c>
      <c r="C478" s="85" t="str" cm="1">
        <f t="array" ref="C478">IFERROR(INDEX('03.Muestra'!$F$8:$F$42,SMALL(IF("Página Web"='03.Muestra'!$D$8:$D$42,ROW('03.Muestra'!$F$8:$F$42)-MIN(ROW('03.Muestra'!$D$8:$D$42))+1,""),ROW()-474)),"")</f>
        <v>https://www.comunidad.madrid/tacp/el-tribunal/acuerdos-del-tacp</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Presentacion</v>
      </c>
      <c r="C479" s="85" t="str" cm="1">
        <f t="array" ref="C479">IFERROR(INDEX('03.Muestra'!$F$8:$F$42,SMALL(IF("Página Web"='03.Muestra'!$D$8:$D$42,ROW('03.Muestra'!$F$8:$F$42)-MIN(ROW('03.Muestra'!$D$8:$D$42))+1,""),ROW()-474)),"")</f>
        <v>https://www.comunidad.madrid/tacp/el-tribunal/presentacion-electronica-e-impresos-normalizados</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Guia</v>
      </c>
      <c r="C480" s="85" t="str" cm="1">
        <f t="array" ref="C480">IFERROR(INDEX('03.Muestra'!$F$8:$F$42,SMALL(IF("Página Web"='03.Muestra'!$D$8:$D$42,ROW('03.Muestra'!$F$8:$F$42)-MIN(ROW('03.Muestra'!$D$8:$D$42))+1,""),ROW()-474)),"")</f>
        <v>https://www.comunidad.madrid/tacp/el-tribunal/guia-informativa-sobre-la-regulacion-del-tribunal-de-contratacion-publica-y-los</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Preguntas</v>
      </c>
      <c r="C481" s="85" t="str" cm="1">
        <f t="array" ref="C481">IFERROR(INDEX('03.Muestra'!$F$8:$F$42,SMALL(IF("Página Web"='03.Muestra'!$D$8:$D$42,ROW('03.Muestra'!$F$8:$F$42)-MIN(ROW('03.Muestra'!$D$8:$D$42))+1,""),ROW()-474)),"")</f>
        <v>https://www.comunidad.madrid/tacp/faq-page</v>
      </c>
      <c r="D481" s="99" t="s">
        <v>94</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Histórico</v>
      </c>
      <c r="C482" s="85" t="str" cm="1">
        <f t="array" ref="C482">IFERROR(INDEX('03.Muestra'!$F$8:$F$42,SMALL(IF("Página Web"='03.Muestra'!$D$8:$D$42,ROW('03.Muestra'!$F$8:$F$42)-MIN(ROW('03.Muestra'!$D$8:$D$42))+1,""),ROW()-474)),"")</f>
        <v>https://www.comunidad.madrid/tacp/el-tribunal/historico-resoluciones-de-las-reclamaciones-de-acceso-informacion-publica</v>
      </c>
      <c r="D482" s="99" t="s">
        <v>94</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Estudios</v>
      </c>
      <c r="C483" s="85" t="str" cm="1">
        <f t="array" ref="C483">IFERROR(INDEX('03.Muestra'!$F$8:$F$42,SMALL(IF("Página Web"='03.Muestra'!$D$8:$D$42,ROW('03.Muestra'!$F$8:$F$42)-MIN(ROW('03.Muestra'!$D$8:$D$42))+1,""),ROW()-474)),"")</f>
        <v>https://www.comunidad.madrid/tacp/estudios</v>
      </c>
      <c r="D483" s="99" t="s">
        <v>94</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Memorias</v>
      </c>
      <c r="C484" s="85" t="str" cm="1">
        <f t="array" ref="C484">IFERROR(INDEX('03.Muestra'!$F$8:$F$42,SMALL(IF("Página Web"='03.Muestra'!$D$8:$D$42,ROW('03.Muestra'!$F$8:$F$42)-MIN(ROW('03.Muestra'!$D$8:$D$42))+1,""),ROW()-474)),"")</f>
        <v>https://www.comunidad.madrid/tacp/memorias</v>
      </c>
      <c r="D484" s="99" t="s">
        <v>94</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Busqueda Resol</v>
      </c>
      <c r="C485" s="85" t="str" cm="1">
        <f t="array" ref="C485">IFERROR(INDEX('03.Muestra'!$F$8:$F$42,SMALL(IF("Página Web"='03.Muestra'!$D$8:$D$42,ROW('03.Muestra'!$F$8:$F$42)-MIN(ROW('03.Muestra'!$D$8:$D$42))+1,""),ROW()-474)),"")</f>
        <v>https://www.comunidad.madrid/tacp/busquedaresoluciones</v>
      </c>
      <c r="D485" s="99" t="s">
        <v>94</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Novedades</v>
      </c>
      <c r="C486" s="85" t="str" cm="1">
        <f t="array" ref="C486">IFERROR(INDEX('03.Muestra'!$F$8:$F$42,SMALL(IF("Página Web"='03.Muestra'!$D$8:$D$42,ROW('03.Muestra'!$F$8:$F$42)-MIN(ROW('03.Muestra'!$D$8:$D$42))+1,""),ROW()-474)),"")</f>
        <v>https://www.comunidad.madrid/tacp/noticias</v>
      </c>
      <c r="D486" s="99" t="s">
        <v>94</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Recursos especiales</v>
      </c>
      <c r="C487" s="85" t="str" cm="1">
        <f t="array" ref="C487">IFERROR(INDEX('03.Muestra'!$F$8:$F$42,SMALL(IF("Página Web"='03.Muestra'!$D$8:$D$42,ROW('03.Muestra'!$F$8:$F$42)-MIN(ROW('03.Muestra'!$D$8:$D$42))+1,""),ROW()-474)),"")</f>
        <v>https://www.comunidad.madrid/tacp/novedades/publicacion-recursos-especiales-en-perfil-contratante</v>
      </c>
      <c r="D487" s="99" t="s">
        <v>94</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Normativa</v>
      </c>
      <c r="C488" s="85" t="str" cm="1">
        <f t="array" ref="C488">IFERROR(INDEX('03.Muestra'!$F$8:$F$42,SMALL(IF("Página Web"='03.Muestra'!$D$8:$D$42,ROW('03.Muestra'!$F$8:$F$42)-MIN(ROW('03.Muestra'!$D$8:$D$42))+1,""),ROW()-474)),"")</f>
        <v>https://www.comunidad.madrid/es/tacp/normativa</v>
      </c>
      <c r="D488" s="99" t="s">
        <v>94</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Organos Competentes</v>
      </c>
      <c r="C489" s="85" t="str" cm="1">
        <f t="array" ref="C489">IFERROR(INDEX('03.Muestra'!$F$8:$F$42,SMALL(IF("Página Web"='03.Muestra'!$D$8:$D$42,ROW('03.Muestra'!$F$8:$F$42)-MIN(ROW('03.Muestra'!$D$8:$D$42))+1,""),ROW()-474)),"")</f>
        <v>https://www.comunidad.madrid/es/tacp/otros-organos-competentes</v>
      </c>
      <c r="D489" s="99" t="s">
        <v>94</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https://www.comunidad.madrid/es/tacp/contact</v>
      </c>
      <c r="D490" s="99" t="s">
        <v>94</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Accesibilidad</v>
      </c>
      <c r="C491" s="85" t="str" cm="1">
        <f t="array" ref="C491">IFERROR(INDEX('03.Muestra'!$F$8:$F$42,SMALL(IF("Página Web"='03.Muestra'!$D$8:$D$42,ROW('03.Muestra'!$F$8:$F$42)-MIN(ROW('03.Muestra'!$D$8:$D$42))+1,""),ROW()-474)),"")</f>
        <v>https://www.comunidad.madrid/es/tacp/accesibilidad</v>
      </c>
      <c r="D491" s="99" t="s">
        <v>94</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ref="D492:D509" si="25">IF(AND(B492&lt;&gt;"",C492&lt;&gt;""),"N/T","")</f>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101</v>
      </c>
      <c r="B512" s="23" t="s">
        <v>93</v>
      </c>
      <c r="C512" s="24" t="s">
        <v>157</v>
      </c>
      <c r="D512" s="25" t="s">
        <v>103</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https://www.comunidad.madrid/tacp/</v>
      </c>
      <c r="D513" s="99" t="s">
        <v>94</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Carta del presidente</v>
      </c>
      <c r="C514" s="85" t="str" cm="1">
        <f t="array" ref="C514">IFERROR(INDEX('03.Muestra'!$F$8:$F$42,SMALL(IF("Página Web"='03.Muestra'!$D$8:$D$42,ROW('03.Muestra'!$F$8:$F$42)-MIN(ROW('03.Muestra'!$D$8:$D$42))+1,""),ROW()-512)),"")</f>
        <v>https://www.comunidad.madrid/tacp/carta-del-presidente</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17</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Organización</v>
      </c>
      <c r="C515" s="85" t="str" cm="1">
        <f t="array" ref="C515">IFERROR(INDEX('03.Muestra'!$F$8:$F$42,SMALL(IF("Página Web"='03.Muestra'!$D$8:$D$42,ROW('03.Muestra'!$F$8:$F$42)-MIN(ROW('03.Muestra'!$D$8:$D$42))+1,""),ROW()-512)),"")</f>
        <v>https://www.comunidad.madrid/tacp/el-tribunal/organización</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Acuerdos</v>
      </c>
      <c r="C516" s="85" t="str" cm="1">
        <f t="array" ref="C516">IFERROR(INDEX('03.Muestra'!$F$8:$F$42,SMALL(IF("Página Web"='03.Muestra'!$D$8:$D$42,ROW('03.Muestra'!$F$8:$F$42)-MIN(ROW('03.Muestra'!$D$8:$D$42))+1,""),ROW()-512)),"")</f>
        <v>https://www.comunidad.madrid/tacp/el-tribunal/acuerdos-del-tacp</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Presentacion</v>
      </c>
      <c r="C517" s="85" t="str" cm="1">
        <f t="array" ref="C517">IFERROR(INDEX('03.Muestra'!$F$8:$F$42,SMALL(IF("Página Web"='03.Muestra'!$D$8:$D$42,ROW('03.Muestra'!$F$8:$F$42)-MIN(ROW('03.Muestra'!$D$8:$D$42))+1,""),ROW()-512)),"")</f>
        <v>https://www.comunidad.madrid/tacp/el-tribunal/presentacion-electronica-e-impresos-normalizados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Guia</v>
      </c>
      <c r="C518" s="85" t="str" cm="1">
        <f t="array" ref="C518">IFERROR(INDEX('03.Muestra'!$F$8:$F$42,SMALL(IF("Página Web"='03.Muestra'!$D$8:$D$42,ROW('03.Muestra'!$F$8:$F$42)-MIN(ROW('03.Muestra'!$D$8:$D$42))+1,""),ROW()-512)),"")</f>
        <v>https://www.comunidad.madrid/tacp/el-tribunal/guia-informativa-sobre-la-regulacion-del-tribunal-de-contratacion-publica-y-los</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Preguntas</v>
      </c>
      <c r="C519" s="85" t="str" cm="1">
        <f t="array" ref="C519">IFERROR(INDEX('03.Muestra'!$F$8:$F$42,SMALL(IF("Página Web"='03.Muestra'!$D$8:$D$42,ROW('03.Muestra'!$F$8:$F$42)-MIN(ROW('03.Muestra'!$D$8:$D$42))+1,""),ROW()-512)),"")</f>
        <v>https://www.comunidad.madrid/tacp/faq-page</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Histórico</v>
      </c>
      <c r="C520" s="85" t="str" cm="1">
        <f t="array" ref="C520">IFERROR(INDEX('03.Muestra'!$F$8:$F$42,SMALL(IF("Página Web"='03.Muestra'!$D$8:$D$42,ROW('03.Muestra'!$F$8:$F$42)-MIN(ROW('03.Muestra'!$D$8:$D$42))+1,""),ROW()-512)),"")</f>
        <v>https://www.comunidad.madrid/tacp/el-tribunal/historico-resoluciones-de-las-reclamaciones-de-acceso-informacion-publica</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Estudios</v>
      </c>
      <c r="C521" s="85" t="str" cm="1">
        <f t="array" ref="C521">IFERROR(INDEX('03.Muestra'!$F$8:$F$42,SMALL(IF("Página Web"='03.Muestra'!$D$8:$D$42,ROW('03.Muestra'!$F$8:$F$42)-MIN(ROW('03.Muestra'!$D$8:$D$42))+1,""),ROW()-512)),"")</f>
        <v>https://www.comunidad.madrid/tacp/estudios</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Memorias</v>
      </c>
      <c r="C522" s="85" t="str" cm="1">
        <f t="array" ref="C522">IFERROR(INDEX('03.Muestra'!$F$8:$F$42,SMALL(IF("Página Web"='03.Muestra'!$D$8:$D$42,ROW('03.Muestra'!$F$8:$F$42)-MIN(ROW('03.Muestra'!$D$8:$D$42))+1,""),ROW()-512)),"")</f>
        <v>https://www.comunidad.madrid/tacp/memorias</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Busqueda Resol</v>
      </c>
      <c r="C523" s="85" t="str" cm="1">
        <f t="array" ref="C523">IFERROR(INDEX('03.Muestra'!$F$8:$F$42,SMALL(IF("Página Web"='03.Muestra'!$D$8:$D$42,ROW('03.Muestra'!$F$8:$F$42)-MIN(ROW('03.Muestra'!$D$8:$D$42))+1,""),ROW()-512)),"")</f>
        <v>https://www.comunidad.madrid/tacp/busquedaresoluciones</v>
      </c>
      <c r="D523" s="99" t="s">
        <v>94</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Novedades</v>
      </c>
      <c r="C524" s="85" t="str" cm="1">
        <f t="array" ref="C524">IFERROR(INDEX('03.Muestra'!$F$8:$F$42,SMALL(IF("Página Web"='03.Muestra'!$D$8:$D$42,ROW('03.Muestra'!$F$8:$F$42)-MIN(ROW('03.Muestra'!$D$8:$D$42))+1,""),ROW()-512)),"")</f>
        <v>https://www.comunidad.madrid/tacp/noticias</v>
      </c>
      <c r="D524" s="99" t="s">
        <v>94</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Recursos especiales</v>
      </c>
      <c r="C525" s="85" t="str" cm="1">
        <f t="array" ref="C525">IFERROR(INDEX('03.Muestra'!$F$8:$F$42,SMALL(IF("Página Web"='03.Muestra'!$D$8:$D$42,ROW('03.Muestra'!$F$8:$F$42)-MIN(ROW('03.Muestra'!$D$8:$D$42))+1,""),ROW()-512)),"")</f>
        <v>https://www.comunidad.madrid/tacp/novedades/publicacion-recursos-especiales-en-perfil-contratante</v>
      </c>
      <c r="D525" s="99" t="s">
        <v>94</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Normativa</v>
      </c>
      <c r="C526" s="85" t="str" cm="1">
        <f t="array" ref="C526">IFERROR(INDEX('03.Muestra'!$F$8:$F$42,SMALL(IF("Página Web"='03.Muestra'!$D$8:$D$42,ROW('03.Muestra'!$F$8:$F$42)-MIN(ROW('03.Muestra'!$D$8:$D$42))+1,""),ROW()-512)),"")</f>
        <v>https://www.comunidad.madrid/es/tacp/normativa</v>
      </c>
      <c r="D526" s="99" t="s">
        <v>94</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Organos Competentes</v>
      </c>
      <c r="C527" s="85" t="str" cm="1">
        <f t="array" ref="C527">IFERROR(INDEX('03.Muestra'!$F$8:$F$42,SMALL(IF("Página Web"='03.Muestra'!$D$8:$D$42,ROW('03.Muestra'!$F$8:$F$42)-MIN(ROW('03.Muestra'!$D$8:$D$42))+1,""),ROW()-512)),"")</f>
        <v>https://www.comunidad.madrid/es/tacp/otros-organos-competentes</v>
      </c>
      <c r="D527" s="99" t="s">
        <v>94</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https://www.comunidad.madrid/es/tacp/contact</v>
      </c>
      <c r="D528" s="99" t="s">
        <v>94</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Accesibilidad</v>
      </c>
      <c r="C529" s="85" t="str" cm="1">
        <f t="array" ref="C529">IFERROR(INDEX('03.Muestra'!$F$8:$F$42,SMALL(IF("Página Web"='03.Muestra'!$D$8:$D$42,ROW('03.Muestra'!$F$8:$F$42)-MIN(ROW('03.Muestra'!$D$8:$D$42))+1,""),ROW()-512)),"")</f>
        <v>https://www.comunidad.madrid/es/tacp/accesibilidad</v>
      </c>
      <c r="D529" s="99" t="s">
        <v>94</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ref="D530:D547" si="27">IF(AND(B530&lt;&gt;"",C530&lt;&gt;""),"N/T","")</f>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101</v>
      </c>
      <c r="B550" s="23" t="s">
        <v>93</v>
      </c>
      <c r="C550" s="24" t="s">
        <v>158</v>
      </c>
      <c r="D550" s="25" t="s">
        <v>103</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https://www.comunidad.madrid/tacp/</v>
      </c>
      <c r="D551" s="99" t="s">
        <v>106</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Carta del presidente</v>
      </c>
      <c r="C552" s="85" t="str" cm="1">
        <f t="array" ref="C552">IFERROR(INDEX('03.Muestra'!$F$8:$F$42,SMALL(IF("Página Web"='03.Muestra'!$D$8:$D$42,ROW('03.Muestra'!$F$8:$F$42)-MIN(ROW('03.Muestra'!$D$8:$D$42))+1,""),ROW()-550)),"")</f>
        <v>https://www.comunidad.madrid/tacp/carta-del-presidente</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17</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Organización</v>
      </c>
      <c r="C553" s="85" t="str" cm="1">
        <f t="array" ref="C553">IFERROR(INDEX('03.Muestra'!$F$8:$F$42,SMALL(IF("Página Web"='03.Muestra'!$D$8:$D$42,ROW('03.Muestra'!$F$8:$F$42)-MIN(ROW('03.Muestra'!$D$8:$D$42))+1,""),ROW()-550)),"")</f>
        <v>https://www.comunidad.madrid/tacp/el-tribunal/organización</v>
      </c>
      <c r="D553" s="99" t="s">
        <v>106</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Acuerdos</v>
      </c>
      <c r="C554" s="85" t="str" cm="1">
        <f t="array" ref="C554">IFERROR(INDEX('03.Muestra'!$F$8:$F$42,SMALL(IF("Página Web"='03.Muestra'!$D$8:$D$42,ROW('03.Muestra'!$F$8:$F$42)-MIN(ROW('03.Muestra'!$D$8:$D$42))+1,""),ROW()-550)),"")</f>
        <v>https://www.comunidad.madrid/tacp/el-tribunal/acuerdos-del-tacp</v>
      </c>
      <c r="D554" s="99" t="s">
        <v>106</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Presentacion</v>
      </c>
      <c r="C555" s="85" t="str" cm="1">
        <f t="array" ref="C555">IFERROR(INDEX('03.Muestra'!$F$8:$F$42,SMALL(IF("Página Web"='03.Muestra'!$D$8:$D$42,ROW('03.Muestra'!$F$8:$F$42)-MIN(ROW('03.Muestra'!$D$8:$D$42))+1,""),ROW()-550)),"")</f>
        <v>https://www.comunidad.madrid/tacp/el-tribunal/presentacion-electronica-e-impresos-normalizados</v>
      </c>
      <c r="D555" s="99" t="s">
        <v>106</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Guia</v>
      </c>
      <c r="C556" s="85" t="str" cm="1">
        <f t="array" ref="C556">IFERROR(INDEX('03.Muestra'!$F$8:$F$42,SMALL(IF("Página Web"='03.Muestra'!$D$8:$D$42,ROW('03.Muestra'!$F$8:$F$42)-MIN(ROW('03.Muestra'!$D$8:$D$42))+1,""),ROW()-550)),"")</f>
        <v>https://www.comunidad.madrid/tacp/el-tribunal/guia-informativa-sobre-la-regulacion-del-tribunal-de-contratacion-publica-y-los</v>
      </c>
      <c r="D556" s="99" t="s">
        <v>106</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Preguntas</v>
      </c>
      <c r="C557" s="85" t="str" cm="1">
        <f t="array" ref="C557">IFERROR(INDEX('03.Muestra'!$F$8:$F$42,SMALL(IF("Página Web"='03.Muestra'!$D$8:$D$42,ROW('03.Muestra'!$F$8:$F$42)-MIN(ROW('03.Muestra'!$D$8:$D$42))+1,""),ROW()-550)),"")</f>
        <v>https://www.comunidad.madrid/tacp/faq-page</v>
      </c>
      <c r="D557" s="99" t="s">
        <v>106</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Histórico</v>
      </c>
      <c r="C558" s="85" t="str" cm="1">
        <f t="array" ref="C558">IFERROR(INDEX('03.Muestra'!$F$8:$F$42,SMALL(IF("Página Web"='03.Muestra'!$D$8:$D$42,ROW('03.Muestra'!$F$8:$F$42)-MIN(ROW('03.Muestra'!$D$8:$D$42))+1,""),ROW()-550)),"")</f>
        <v>https://www.comunidad.madrid/tacp/el-tribunal/historico-resoluciones-de-las-reclamaciones-de-acceso-informacion-publica</v>
      </c>
      <c r="D558" s="99" t="s">
        <v>106</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Estudios</v>
      </c>
      <c r="C559" s="85" t="str" cm="1">
        <f t="array" ref="C559">IFERROR(INDEX('03.Muestra'!$F$8:$F$42,SMALL(IF("Página Web"='03.Muestra'!$D$8:$D$42,ROW('03.Muestra'!$F$8:$F$42)-MIN(ROW('03.Muestra'!$D$8:$D$42))+1,""),ROW()-550)),"")</f>
        <v>https://www.comunidad.madrid/tacp/estudios</v>
      </c>
      <c r="D559" s="99" t="s">
        <v>106</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Memorias</v>
      </c>
      <c r="C560" s="85" t="str" cm="1">
        <f t="array" ref="C560">IFERROR(INDEX('03.Muestra'!$F$8:$F$42,SMALL(IF("Página Web"='03.Muestra'!$D$8:$D$42,ROW('03.Muestra'!$F$8:$F$42)-MIN(ROW('03.Muestra'!$D$8:$D$42))+1,""),ROW()-550)),"")</f>
        <v>https://www.comunidad.madrid/tacp/memorias</v>
      </c>
      <c r="D560" s="99" t="s">
        <v>106</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Busqueda Resol</v>
      </c>
      <c r="C561" s="85" t="str" cm="1">
        <f t="array" ref="C561">IFERROR(INDEX('03.Muestra'!$F$8:$F$42,SMALL(IF("Página Web"='03.Muestra'!$D$8:$D$42,ROW('03.Muestra'!$F$8:$F$42)-MIN(ROW('03.Muestra'!$D$8:$D$42))+1,""),ROW()-550)),"")</f>
        <v>https://www.comunidad.madrid/tacp/busquedaresoluciones</v>
      </c>
      <c r="D561" s="99" t="s">
        <v>106</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Novedades</v>
      </c>
      <c r="C562" s="85" t="str" cm="1">
        <f t="array" ref="C562">IFERROR(INDEX('03.Muestra'!$F$8:$F$42,SMALL(IF("Página Web"='03.Muestra'!$D$8:$D$42,ROW('03.Muestra'!$F$8:$F$42)-MIN(ROW('03.Muestra'!$D$8:$D$42))+1,""),ROW()-550)),"")</f>
        <v>https://www.comunidad.madrid/tacp/noticias</v>
      </c>
      <c r="D562" s="99" t="s">
        <v>106</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Recursos especiales</v>
      </c>
      <c r="C563" s="85" t="str" cm="1">
        <f t="array" ref="C563">IFERROR(INDEX('03.Muestra'!$F$8:$F$42,SMALL(IF("Página Web"='03.Muestra'!$D$8:$D$42,ROW('03.Muestra'!$F$8:$F$42)-MIN(ROW('03.Muestra'!$D$8:$D$42))+1,""),ROW()-550)),"")</f>
        <v>https://www.comunidad.madrid/tacp/novedades/publicacion-recursos-especiales-en-perfil-contratante</v>
      </c>
      <c r="D563" s="99" t="s">
        <v>106</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Normativa</v>
      </c>
      <c r="C564" s="85" t="str" cm="1">
        <f t="array" ref="C564">IFERROR(INDEX('03.Muestra'!$F$8:$F$42,SMALL(IF("Página Web"='03.Muestra'!$D$8:$D$42,ROW('03.Muestra'!$F$8:$F$42)-MIN(ROW('03.Muestra'!$D$8:$D$42))+1,""),ROW()-550)),"")</f>
        <v>https://www.comunidad.madrid/es/tacp/normativa</v>
      </c>
      <c r="D564" s="99" t="s">
        <v>106</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Organos Competentes</v>
      </c>
      <c r="C565" s="85" t="str" cm="1">
        <f t="array" ref="C565">IFERROR(INDEX('03.Muestra'!$F$8:$F$42,SMALL(IF("Página Web"='03.Muestra'!$D$8:$D$42,ROW('03.Muestra'!$F$8:$F$42)-MIN(ROW('03.Muestra'!$D$8:$D$42))+1,""),ROW()-550)),"")</f>
        <v>https://www.comunidad.madrid/es/tacp/otros-organos-competentes</v>
      </c>
      <c r="D565" s="99" t="s">
        <v>106</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https://www.comunidad.madrid/es/tacp/contact</v>
      </c>
      <c r="D566" s="99" t="s">
        <v>106</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Accesibilidad</v>
      </c>
      <c r="C567" s="85" t="str" cm="1">
        <f t="array" ref="C567">IFERROR(INDEX('03.Muestra'!$F$8:$F$42,SMALL(IF("Página Web"='03.Muestra'!$D$8:$D$42,ROW('03.Muestra'!$F$8:$F$42)-MIN(ROW('03.Muestra'!$D$8:$D$42))+1,""),ROW()-550)),"")</f>
        <v>https://www.comunidad.madrid/es/tacp/accesibilidad</v>
      </c>
      <c r="D567" s="99" t="s">
        <v>106</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ref="D568:D585" si="29">IF(AND(B568&lt;&gt;"",C568&lt;&gt;""),"N/T","")</f>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101</v>
      </c>
      <c r="B588" s="23" t="s">
        <v>93</v>
      </c>
      <c r="C588" s="24" t="s">
        <v>159</v>
      </c>
      <c r="D588" s="25" t="s">
        <v>103</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https://www.comunidad.madrid/tacp/</v>
      </c>
      <c r="D589" s="99" t="s">
        <v>94</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Carta del presidente</v>
      </c>
      <c r="C590" s="85" t="str" cm="1">
        <f t="array" ref="C590">IFERROR(INDEX('03.Muestra'!$F$8:$F$42,SMALL(IF("Página Web"='03.Muestra'!$D$8:$D$42,ROW('03.Muestra'!$F$8:$F$42)-MIN(ROW('03.Muestra'!$D$8:$D$42))+1,""),ROW()-588)),"")</f>
        <v>https://www.comunidad.madrid/tacp/carta-del-presidente</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v>
      </c>
      <c r="J590" s="91">
        <f ca="1">COUNTIF($D589:INDIRECT("$D" &amp;  SUM(ROW()-1,'03.Muestra'!$D$45)-1),J589)</f>
        <v>16</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Organización</v>
      </c>
      <c r="C591" s="85" t="str" cm="1">
        <f t="array" ref="C591">IFERROR(INDEX('03.Muestra'!$F$8:$F$42,SMALL(IF("Página Web"='03.Muestra'!$D$8:$D$42,ROW('03.Muestra'!$F$8:$F$42)-MIN(ROW('03.Muestra'!$D$8:$D$42))+1,""),ROW()-588)),"")</f>
        <v>https://www.comunidad.madrid/tacp/el-tribunal/organización</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Acuerdos</v>
      </c>
      <c r="C592" s="85" t="str" cm="1">
        <f t="array" ref="C592">IFERROR(INDEX('03.Muestra'!$F$8:$F$42,SMALL(IF("Página Web"='03.Muestra'!$D$8:$D$42,ROW('03.Muestra'!$F$8:$F$42)-MIN(ROW('03.Muestra'!$D$8:$D$42))+1,""),ROW()-588)),"")</f>
        <v>https://www.comunidad.madrid/tacp/el-tribunal/acuerdos-del-tacp</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Presentacion</v>
      </c>
      <c r="C593" s="85" t="str" cm="1">
        <f t="array" ref="C593">IFERROR(INDEX('03.Muestra'!$F$8:$F$42,SMALL(IF("Página Web"='03.Muestra'!$D$8:$D$42,ROW('03.Muestra'!$F$8:$F$42)-MIN(ROW('03.Muestra'!$D$8:$D$42))+1,""),ROW()-588)),"")</f>
        <v>https://www.comunidad.madrid/tacp/el-tribunal/presentacion-electronica-e-impresos-normalizados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Guia</v>
      </c>
      <c r="C594" s="85" t="str" cm="1">
        <f t="array" ref="C594">IFERROR(INDEX('03.Muestra'!$F$8:$F$42,SMALL(IF("Página Web"='03.Muestra'!$D$8:$D$42,ROW('03.Muestra'!$F$8:$F$42)-MIN(ROW('03.Muestra'!$D$8:$D$42))+1,""),ROW()-588)),"")</f>
        <v>https://www.comunidad.madrid/tacp/el-tribunal/guia-informativa-sobre-la-regulacion-del-tribunal-de-contratacion-publica-y-los</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Preguntas</v>
      </c>
      <c r="C595" s="85" t="str" cm="1">
        <f t="array" ref="C595">IFERROR(INDEX('03.Muestra'!$F$8:$F$42,SMALL(IF("Página Web"='03.Muestra'!$D$8:$D$42,ROW('03.Muestra'!$F$8:$F$42)-MIN(ROW('03.Muestra'!$D$8:$D$42))+1,""),ROW()-588)),"")</f>
        <v>https://www.comunidad.madrid/tacp/faq-page</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Histórico</v>
      </c>
      <c r="C596" s="85" t="str" cm="1">
        <f t="array" ref="C596">IFERROR(INDEX('03.Muestra'!$F$8:$F$42,SMALL(IF("Página Web"='03.Muestra'!$D$8:$D$42,ROW('03.Muestra'!$F$8:$F$42)-MIN(ROW('03.Muestra'!$D$8:$D$42))+1,""),ROW()-588)),"")</f>
        <v>https://www.comunidad.madrid/tacp/el-tribunal/historico-resoluciones-de-las-reclamaciones-de-acceso-informacion-publica</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Estudios</v>
      </c>
      <c r="C597" s="85" t="str" cm="1">
        <f t="array" ref="C597">IFERROR(INDEX('03.Muestra'!$F$8:$F$42,SMALL(IF("Página Web"='03.Muestra'!$D$8:$D$42,ROW('03.Muestra'!$F$8:$F$42)-MIN(ROW('03.Muestra'!$D$8:$D$42))+1,""),ROW()-588)),"")</f>
        <v>https://www.comunidad.madrid/tacp/estudios</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Memorias</v>
      </c>
      <c r="C598" s="85" t="str" cm="1">
        <f t="array" ref="C598">IFERROR(INDEX('03.Muestra'!$F$8:$F$42,SMALL(IF("Página Web"='03.Muestra'!$D$8:$D$42,ROW('03.Muestra'!$F$8:$F$42)-MIN(ROW('03.Muestra'!$D$8:$D$42))+1,""),ROW()-588)),"")</f>
        <v>https://www.comunidad.madrid/tacp/memorias</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Busqueda Resol</v>
      </c>
      <c r="C599" s="85" t="str" cm="1">
        <f t="array" ref="C599">IFERROR(INDEX('03.Muestra'!$F$8:$F$42,SMALL(IF("Página Web"='03.Muestra'!$D$8:$D$42,ROW('03.Muestra'!$F$8:$F$42)-MIN(ROW('03.Muestra'!$D$8:$D$42))+1,""),ROW()-588)),"")</f>
        <v>https://www.comunidad.madrid/tacp/busquedaresoluciones</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Novedades</v>
      </c>
      <c r="C600" s="85" t="str" cm="1">
        <f t="array" ref="C600">IFERROR(INDEX('03.Muestra'!$F$8:$F$42,SMALL(IF("Página Web"='03.Muestra'!$D$8:$D$42,ROW('03.Muestra'!$F$8:$F$42)-MIN(ROW('03.Muestra'!$D$8:$D$42))+1,""),ROW()-588)),"")</f>
        <v>https://www.comunidad.madrid/tacp/noticias</v>
      </c>
      <c r="D600" s="99" t="s">
        <v>94</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Recursos especiales</v>
      </c>
      <c r="C601" s="85" t="str" cm="1">
        <f t="array" ref="C601">IFERROR(INDEX('03.Muestra'!$F$8:$F$42,SMALL(IF("Página Web"='03.Muestra'!$D$8:$D$42,ROW('03.Muestra'!$F$8:$F$42)-MIN(ROW('03.Muestra'!$D$8:$D$42))+1,""),ROW()-588)),"")</f>
        <v>https://www.comunidad.madrid/tacp/novedades/publicacion-recursos-especiales-en-perfil-contratante</v>
      </c>
      <c r="D601" s="99" t="s">
        <v>96</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Normativa</v>
      </c>
      <c r="C602" s="85" t="str" cm="1">
        <f t="array" ref="C602">IFERROR(INDEX('03.Muestra'!$F$8:$F$42,SMALL(IF("Página Web"='03.Muestra'!$D$8:$D$42,ROW('03.Muestra'!$F$8:$F$42)-MIN(ROW('03.Muestra'!$D$8:$D$42))+1,""),ROW()-588)),"")</f>
        <v>https://www.comunidad.madrid/es/tacp/normativa</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Organos Competentes</v>
      </c>
      <c r="C603" s="85" t="str" cm="1">
        <f t="array" ref="C603">IFERROR(INDEX('03.Muestra'!$F$8:$F$42,SMALL(IF("Página Web"='03.Muestra'!$D$8:$D$42,ROW('03.Muestra'!$F$8:$F$42)-MIN(ROW('03.Muestra'!$D$8:$D$42))+1,""),ROW()-588)),"")</f>
        <v>https://www.comunidad.madrid/es/tacp/otros-organos-competentes</v>
      </c>
      <c r="D603" s="99" t="s">
        <v>94</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https://www.comunidad.madrid/es/tacp/contact</v>
      </c>
      <c r="D604" s="99" t="s">
        <v>94</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Accesibilidad</v>
      </c>
      <c r="C605" s="85" t="str" cm="1">
        <f t="array" ref="C605">IFERROR(INDEX('03.Muestra'!$F$8:$F$42,SMALL(IF("Página Web"='03.Muestra'!$D$8:$D$42,ROW('03.Muestra'!$F$8:$F$42)-MIN(ROW('03.Muestra'!$D$8:$D$42))+1,""),ROW()-588)),"")</f>
        <v>https://www.comunidad.madrid/es/tacp/accesibilidad</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ref="D606:D623" si="31">IF(AND(B606&lt;&gt;"",C606&lt;&gt;""),"N/T","")</f>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101</v>
      </c>
      <c r="B626" s="23" t="s">
        <v>93</v>
      </c>
      <c r="C626" s="24" t="s">
        <v>160</v>
      </c>
      <c r="D626" s="25" t="s">
        <v>103</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https://www.comunidad.madrid/tacp/</v>
      </c>
      <c r="D627" s="99" t="s">
        <v>94</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Carta del presidente</v>
      </c>
      <c r="C628" s="85" t="str" cm="1">
        <f t="array" ref="C628">IFERROR(INDEX('03.Muestra'!$F$8:$F$42,SMALL(IF("Página Web"='03.Muestra'!$D$8:$D$42,ROW('03.Muestra'!$F$8:$F$42)-MIN(ROW('03.Muestra'!$D$8:$D$42))+1,""),ROW()-626)),"")</f>
        <v>https://www.comunidad.madrid/tacp/carta-del-presidente</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17</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Organización</v>
      </c>
      <c r="C629" s="85" t="str" cm="1">
        <f t="array" ref="C629">IFERROR(INDEX('03.Muestra'!$F$8:$F$42,SMALL(IF("Página Web"='03.Muestra'!$D$8:$D$42,ROW('03.Muestra'!$F$8:$F$42)-MIN(ROW('03.Muestra'!$D$8:$D$42))+1,""),ROW()-626)),"")</f>
        <v>https://www.comunidad.madrid/tacp/el-tribunal/organización</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Acuerdos</v>
      </c>
      <c r="C630" s="85" t="str" cm="1">
        <f t="array" ref="C630">IFERROR(INDEX('03.Muestra'!$F$8:$F$42,SMALL(IF("Página Web"='03.Muestra'!$D$8:$D$42,ROW('03.Muestra'!$F$8:$F$42)-MIN(ROW('03.Muestra'!$D$8:$D$42))+1,""),ROW()-626)),"")</f>
        <v>https://www.comunidad.madrid/tacp/el-tribunal/acuerdos-del-tacp</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Presentacion</v>
      </c>
      <c r="C631" s="85" t="str" cm="1">
        <f t="array" ref="C631">IFERROR(INDEX('03.Muestra'!$F$8:$F$42,SMALL(IF("Página Web"='03.Muestra'!$D$8:$D$42,ROW('03.Muestra'!$F$8:$F$42)-MIN(ROW('03.Muestra'!$D$8:$D$42))+1,""),ROW()-626)),"")</f>
        <v>https://www.comunidad.madrid/tacp/el-tribunal/presentacion-electronica-e-impresos-normalizados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Guia</v>
      </c>
      <c r="C632" s="85" t="str" cm="1">
        <f t="array" ref="C632">IFERROR(INDEX('03.Muestra'!$F$8:$F$42,SMALL(IF("Página Web"='03.Muestra'!$D$8:$D$42,ROW('03.Muestra'!$F$8:$F$42)-MIN(ROW('03.Muestra'!$D$8:$D$42))+1,""),ROW()-626)),"")</f>
        <v>https://www.comunidad.madrid/tacp/el-tribunal/guia-informativa-sobre-la-regulacion-del-tribunal-de-contratacion-publica-y-los</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Preguntas</v>
      </c>
      <c r="C633" s="85" t="str" cm="1">
        <f t="array" ref="C633">IFERROR(INDEX('03.Muestra'!$F$8:$F$42,SMALL(IF("Página Web"='03.Muestra'!$D$8:$D$42,ROW('03.Muestra'!$F$8:$F$42)-MIN(ROW('03.Muestra'!$D$8:$D$42))+1,""),ROW()-626)),"")</f>
        <v>https://www.comunidad.madrid/tacp/faq-page</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Histórico</v>
      </c>
      <c r="C634" s="85" t="str" cm="1">
        <f t="array" ref="C634">IFERROR(INDEX('03.Muestra'!$F$8:$F$42,SMALL(IF("Página Web"='03.Muestra'!$D$8:$D$42,ROW('03.Muestra'!$F$8:$F$42)-MIN(ROW('03.Muestra'!$D$8:$D$42))+1,""),ROW()-626)),"")</f>
        <v>https://www.comunidad.madrid/tacp/el-tribunal/historico-resoluciones-de-las-reclamaciones-de-acceso-informacion-publica</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Estudios</v>
      </c>
      <c r="C635" s="85" t="str" cm="1">
        <f t="array" ref="C635">IFERROR(INDEX('03.Muestra'!$F$8:$F$42,SMALL(IF("Página Web"='03.Muestra'!$D$8:$D$42,ROW('03.Muestra'!$F$8:$F$42)-MIN(ROW('03.Muestra'!$D$8:$D$42))+1,""),ROW()-626)),"")</f>
        <v>https://www.comunidad.madrid/tacp/estudios</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Memorias</v>
      </c>
      <c r="C636" s="85" t="str" cm="1">
        <f t="array" ref="C636">IFERROR(INDEX('03.Muestra'!$F$8:$F$42,SMALL(IF("Página Web"='03.Muestra'!$D$8:$D$42,ROW('03.Muestra'!$F$8:$F$42)-MIN(ROW('03.Muestra'!$D$8:$D$42))+1,""),ROW()-626)),"")</f>
        <v>https://www.comunidad.madrid/tacp/memorias</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Busqueda Resol</v>
      </c>
      <c r="C637" s="85" t="str" cm="1">
        <f t="array" ref="C637">IFERROR(INDEX('03.Muestra'!$F$8:$F$42,SMALL(IF("Página Web"='03.Muestra'!$D$8:$D$42,ROW('03.Muestra'!$F$8:$F$42)-MIN(ROW('03.Muestra'!$D$8:$D$42))+1,""),ROW()-626)),"")</f>
        <v>https://www.comunidad.madrid/tacp/busquedaresoluciones</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Novedades</v>
      </c>
      <c r="C638" s="85" t="str" cm="1">
        <f t="array" ref="C638">IFERROR(INDEX('03.Muestra'!$F$8:$F$42,SMALL(IF("Página Web"='03.Muestra'!$D$8:$D$42,ROW('03.Muestra'!$F$8:$F$42)-MIN(ROW('03.Muestra'!$D$8:$D$42))+1,""),ROW()-626)),"")</f>
        <v>https://www.comunidad.madrid/tacp/noticias</v>
      </c>
      <c r="D638" s="99" t="s">
        <v>94</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Recursos especiales</v>
      </c>
      <c r="C639" s="85" t="str" cm="1">
        <f t="array" ref="C639">IFERROR(INDEX('03.Muestra'!$F$8:$F$42,SMALL(IF("Página Web"='03.Muestra'!$D$8:$D$42,ROW('03.Muestra'!$F$8:$F$42)-MIN(ROW('03.Muestra'!$D$8:$D$42))+1,""),ROW()-626)),"")</f>
        <v>https://www.comunidad.madrid/tacp/novedades/publicacion-recursos-especiales-en-perfil-contratante</v>
      </c>
      <c r="D639" s="99" t="s">
        <v>94</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Normativa</v>
      </c>
      <c r="C640" s="85" t="str" cm="1">
        <f t="array" ref="C640">IFERROR(INDEX('03.Muestra'!$F$8:$F$42,SMALL(IF("Página Web"='03.Muestra'!$D$8:$D$42,ROW('03.Muestra'!$F$8:$F$42)-MIN(ROW('03.Muestra'!$D$8:$D$42))+1,""),ROW()-626)),"")</f>
        <v>https://www.comunidad.madrid/es/tacp/normativa</v>
      </c>
      <c r="D640" s="99" t="s">
        <v>94</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Organos Competentes</v>
      </c>
      <c r="C641" s="85" t="str" cm="1">
        <f t="array" ref="C641">IFERROR(INDEX('03.Muestra'!$F$8:$F$42,SMALL(IF("Página Web"='03.Muestra'!$D$8:$D$42,ROW('03.Muestra'!$F$8:$F$42)-MIN(ROW('03.Muestra'!$D$8:$D$42))+1,""),ROW()-626)),"")</f>
        <v>https://www.comunidad.madrid/es/tacp/otros-organos-competentes</v>
      </c>
      <c r="D641" s="99" t="s">
        <v>94</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https://www.comunidad.madrid/es/tacp/contact</v>
      </c>
      <c r="D642" s="99" t="s">
        <v>94</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Accesibilidad</v>
      </c>
      <c r="C643" s="85" t="str" cm="1">
        <f t="array" ref="C643">IFERROR(INDEX('03.Muestra'!$F$8:$F$42,SMALL(IF("Página Web"='03.Muestra'!$D$8:$D$42,ROW('03.Muestra'!$F$8:$F$42)-MIN(ROW('03.Muestra'!$D$8:$D$42))+1,""),ROW()-626)),"")</f>
        <v>https://www.comunidad.madrid/es/tacp/accesibilidad</v>
      </c>
      <c r="D643" s="99" t="s">
        <v>94</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ref="D644:D661" si="33">IF(AND(B644&lt;&gt;"",C644&lt;&gt;""),"N/T","")</f>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101</v>
      </c>
      <c r="B664" s="23" t="s">
        <v>93</v>
      </c>
      <c r="C664" s="24" t="s">
        <v>161</v>
      </c>
      <c r="D664" s="25" t="s">
        <v>103</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https://www.comunidad.madrid/tacp/</v>
      </c>
      <c r="D665" s="99" t="s">
        <v>94</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Carta del presidente</v>
      </c>
      <c r="C666" s="85" t="str" cm="1">
        <f t="array" ref="C666">IFERROR(INDEX('03.Muestra'!$F$8:$F$42,SMALL(IF("Página Web"='03.Muestra'!$D$8:$D$42,ROW('03.Muestra'!$F$8:$F$42)-MIN(ROW('03.Muestra'!$D$8:$D$42))+1,""),ROW()-664)),"")</f>
        <v>https://www.comunidad.madrid/tacp/carta-del-presidente</v>
      </c>
      <c r="D666" s="99" t="s">
        <v>94</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17</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Organización</v>
      </c>
      <c r="C667" s="85" t="str" cm="1">
        <f t="array" ref="C667">IFERROR(INDEX('03.Muestra'!$F$8:$F$42,SMALL(IF("Página Web"='03.Muestra'!$D$8:$D$42,ROW('03.Muestra'!$F$8:$F$42)-MIN(ROW('03.Muestra'!$D$8:$D$42))+1,""),ROW()-664)),"")</f>
        <v>https://www.comunidad.madrid/tacp/el-tribunal/organización</v>
      </c>
      <c r="D667" s="99" t="s">
        <v>94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Acuerdos</v>
      </c>
      <c r="C668" s="85" t="str" cm="1">
        <f t="array" ref="C668">IFERROR(INDEX('03.Muestra'!$F$8:$F$42,SMALL(IF("Página Web"='03.Muestra'!$D$8:$D$42,ROW('03.Muestra'!$F$8:$F$42)-MIN(ROW('03.Muestra'!$D$8:$D$42))+1,""),ROW()-664)),"")</f>
        <v>https://www.comunidad.madrid/tacp/el-tribunal/acuerdos-del-tacp</v>
      </c>
      <c r="D668" s="99" t="s">
        <v>94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Presentacion</v>
      </c>
      <c r="C669" s="85" t="str" cm="1">
        <f t="array" ref="C669">IFERROR(INDEX('03.Muestra'!$F$8:$F$42,SMALL(IF("Página Web"='03.Muestra'!$D$8:$D$42,ROW('03.Muestra'!$F$8:$F$42)-MIN(ROW('03.Muestra'!$D$8:$D$42))+1,""),ROW()-664)),"")</f>
        <v>https://www.comunidad.madrid/tacp/el-tribunal/presentacion-electronica-e-impresos-normalizados</v>
      </c>
      <c r="D669" s="99" t="s">
        <v>94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Guia</v>
      </c>
      <c r="C670" s="85" t="str" cm="1">
        <f t="array" ref="C670">IFERROR(INDEX('03.Muestra'!$F$8:$F$42,SMALL(IF("Página Web"='03.Muestra'!$D$8:$D$42,ROW('03.Muestra'!$F$8:$F$42)-MIN(ROW('03.Muestra'!$D$8:$D$42))+1,""),ROW()-664)),"")</f>
        <v>https://www.comunidad.madrid/tacp/el-tribunal/guia-informativa-sobre-la-regulacion-del-tribunal-de-contratacion-publica-y-los</v>
      </c>
      <c r="D670" s="99" t="s">
        <v>94</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Preguntas</v>
      </c>
      <c r="C671" s="85" t="str" cm="1">
        <f t="array" ref="C671">IFERROR(INDEX('03.Muestra'!$F$8:$F$42,SMALL(IF("Página Web"='03.Muestra'!$D$8:$D$42,ROW('03.Muestra'!$F$8:$F$42)-MIN(ROW('03.Muestra'!$D$8:$D$42))+1,""),ROW()-664)),"")</f>
        <v>https://www.comunidad.madrid/tacp/faq-page</v>
      </c>
      <c r="D671" s="99" t="s">
        <v>94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Histórico</v>
      </c>
      <c r="C672" s="85" t="str" cm="1">
        <f t="array" ref="C672">IFERROR(INDEX('03.Muestra'!$F$8:$F$42,SMALL(IF("Página Web"='03.Muestra'!$D$8:$D$42,ROW('03.Muestra'!$F$8:$F$42)-MIN(ROW('03.Muestra'!$D$8:$D$42))+1,""),ROW()-664)),"")</f>
        <v>https://www.comunidad.madrid/tacp/el-tribunal/historico-resoluciones-de-las-reclamaciones-de-acceso-informacion-publica</v>
      </c>
      <c r="D672" s="99" t="s">
        <v>94</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Estudios</v>
      </c>
      <c r="C673" s="85" t="str" cm="1">
        <f t="array" ref="C673">IFERROR(INDEX('03.Muestra'!$F$8:$F$42,SMALL(IF("Página Web"='03.Muestra'!$D$8:$D$42,ROW('03.Muestra'!$F$8:$F$42)-MIN(ROW('03.Muestra'!$D$8:$D$42))+1,""),ROW()-664)),"")</f>
        <v>https://www.comunidad.madrid/tacp/estudios</v>
      </c>
      <c r="D673" s="99" t="s">
        <v>94</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Memorias</v>
      </c>
      <c r="C674" s="85" t="str" cm="1">
        <f t="array" ref="C674">IFERROR(INDEX('03.Muestra'!$F$8:$F$42,SMALL(IF("Página Web"='03.Muestra'!$D$8:$D$42,ROW('03.Muestra'!$F$8:$F$42)-MIN(ROW('03.Muestra'!$D$8:$D$42))+1,""),ROW()-664)),"")</f>
        <v>https://www.comunidad.madrid/tacp/memorias</v>
      </c>
      <c r="D674" s="99" t="s">
        <v>94</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Busqueda Resol</v>
      </c>
      <c r="C675" s="85" t="str" cm="1">
        <f t="array" ref="C675">IFERROR(INDEX('03.Muestra'!$F$8:$F$42,SMALL(IF("Página Web"='03.Muestra'!$D$8:$D$42,ROW('03.Muestra'!$F$8:$F$42)-MIN(ROW('03.Muestra'!$D$8:$D$42))+1,""),ROW()-664)),"")</f>
        <v>https://www.comunidad.madrid/tacp/busquedaresoluciones</v>
      </c>
      <c r="D675" s="99" t="s">
        <v>94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Novedades</v>
      </c>
      <c r="C676" s="85" t="str" cm="1">
        <f t="array" ref="C676">IFERROR(INDEX('03.Muestra'!$F$8:$F$42,SMALL(IF("Página Web"='03.Muestra'!$D$8:$D$42,ROW('03.Muestra'!$F$8:$F$42)-MIN(ROW('03.Muestra'!$D$8:$D$42))+1,""),ROW()-664)),"")</f>
        <v>https://www.comunidad.madrid/tacp/noticias</v>
      </c>
      <c r="D676" s="99" t="s">
        <v>94</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Recursos especiales</v>
      </c>
      <c r="C677" s="85" t="str" cm="1">
        <f t="array" ref="C677">IFERROR(INDEX('03.Muestra'!$F$8:$F$42,SMALL(IF("Página Web"='03.Muestra'!$D$8:$D$42,ROW('03.Muestra'!$F$8:$F$42)-MIN(ROW('03.Muestra'!$D$8:$D$42))+1,""),ROW()-664)),"")</f>
        <v>https://www.comunidad.madrid/tacp/novedades/publicacion-recursos-especiales-en-perfil-contratante</v>
      </c>
      <c r="D677" s="99" t="s">
        <v>94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Normativa</v>
      </c>
      <c r="C678" s="85" t="str" cm="1">
        <f t="array" ref="C678">IFERROR(INDEX('03.Muestra'!$F$8:$F$42,SMALL(IF("Página Web"='03.Muestra'!$D$8:$D$42,ROW('03.Muestra'!$F$8:$F$42)-MIN(ROW('03.Muestra'!$D$8:$D$42))+1,""),ROW()-664)),"")</f>
        <v>https://www.comunidad.madrid/es/tacp/normativa</v>
      </c>
      <c r="D678" s="99" t="s">
        <v>94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Organos Competentes</v>
      </c>
      <c r="C679" s="85" t="str" cm="1">
        <f t="array" ref="C679">IFERROR(INDEX('03.Muestra'!$F$8:$F$42,SMALL(IF("Página Web"='03.Muestra'!$D$8:$D$42,ROW('03.Muestra'!$F$8:$F$42)-MIN(ROW('03.Muestra'!$D$8:$D$42))+1,""),ROW()-664)),"")</f>
        <v>https://www.comunidad.madrid/es/tacp/otros-organos-competentes</v>
      </c>
      <c r="D679" s="99" t="s">
        <v>94</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https://www.comunidad.madrid/es/tacp/contact</v>
      </c>
      <c r="D680" s="99" t="s">
        <v>94</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Accesibilidad</v>
      </c>
      <c r="C681" s="85" t="str" cm="1">
        <f t="array" ref="C681">IFERROR(INDEX('03.Muestra'!$F$8:$F$42,SMALL(IF("Página Web"='03.Muestra'!$D$8:$D$42,ROW('03.Muestra'!$F$8:$F$42)-MIN(ROW('03.Muestra'!$D$8:$D$42))+1,""),ROW()-664)),"")</f>
        <v>https://www.comunidad.madrid/es/tacp/accesibilidad</v>
      </c>
      <c r="D681" s="99" t="s">
        <v>94</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ref="D682:D699" si="35">IF(AND(B682&lt;&gt;"",C682&lt;&gt;""),"N/T","")</f>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101</v>
      </c>
      <c r="B702" s="23" t="s">
        <v>93</v>
      </c>
      <c r="C702" s="24" t="s">
        <v>162</v>
      </c>
      <c r="D702" s="25" t="s">
        <v>103</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https://www.comunidad.madrid/tacp/</v>
      </c>
      <c r="D703" s="99" t="s">
        <v>106</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Carta del presidente</v>
      </c>
      <c r="C704" s="85" t="str" cm="1">
        <f t="array" ref="C704">IFERROR(INDEX('03.Muestra'!$F$8:$F$42,SMALL(IF("Página Web"='03.Muestra'!$D$8:$D$42,ROW('03.Muestra'!$F$8:$F$42)-MIN(ROW('03.Muestra'!$D$8:$D$42))+1,""),ROW()-702)),"")</f>
        <v>https://www.comunidad.madrid/tacp/carta-del-presidente</v>
      </c>
      <c r="D704" s="99" t="s">
        <v>106</v>
      </c>
      <c r="E704" s="79" t="str">
        <f t="shared" si="36"/>
        <v/>
      </c>
      <c r="F704" s="91">
        <f ca="1">COUNTIF($D703:INDIRECT("$D" &amp;  SUM(ROW()-1,'03.Muestra'!$D$45)-1),F703)</f>
        <v>0</v>
      </c>
      <c r="G704" s="91">
        <f ca="1">COUNTIF($D703:INDIRECT("$D" &amp;  SUM(ROW()-1,'03.Muestra'!$D$45)-1),G703)</f>
        <v>0</v>
      </c>
      <c r="H704" s="91">
        <f ca="1">COUNTIF($D703:INDIRECT("$D" &amp;  SUM(ROW()-1,'03.Muestra'!$D$45)-1),H703)</f>
        <v>17</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Organización</v>
      </c>
      <c r="C705" s="85" t="str" cm="1">
        <f t="array" ref="C705">IFERROR(INDEX('03.Muestra'!$F$8:$F$42,SMALL(IF("Página Web"='03.Muestra'!$D$8:$D$42,ROW('03.Muestra'!$F$8:$F$42)-MIN(ROW('03.Muestra'!$D$8:$D$42))+1,""),ROW()-702)),"")</f>
        <v>https://www.comunidad.madrid/tacp/el-tribunal/organización</v>
      </c>
      <c r="D705" s="99" t="s">
        <v>106</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Acuerdos</v>
      </c>
      <c r="C706" s="85" t="str" cm="1">
        <f t="array" ref="C706">IFERROR(INDEX('03.Muestra'!$F$8:$F$42,SMALL(IF("Página Web"='03.Muestra'!$D$8:$D$42,ROW('03.Muestra'!$F$8:$F$42)-MIN(ROW('03.Muestra'!$D$8:$D$42))+1,""),ROW()-702)),"")</f>
        <v>https://www.comunidad.madrid/tacp/el-tribunal/acuerdos-del-tacp</v>
      </c>
      <c r="D706" s="99" t="s">
        <v>106</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Presentacion</v>
      </c>
      <c r="C707" s="85" t="str" cm="1">
        <f t="array" ref="C707">IFERROR(INDEX('03.Muestra'!$F$8:$F$42,SMALL(IF("Página Web"='03.Muestra'!$D$8:$D$42,ROW('03.Muestra'!$F$8:$F$42)-MIN(ROW('03.Muestra'!$D$8:$D$42))+1,""),ROW()-702)),"")</f>
        <v>https://www.comunidad.madrid/tacp/el-tribunal/presentacion-electronica-e-impresos-normalizados</v>
      </c>
      <c r="D707" s="99" t="s">
        <v>106</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Guia</v>
      </c>
      <c r="C708" s="85" t="str" cm="1">
        <f t="array" ref="C708">IFERROR(INDEX('03.Muestra'!$F$8:$F$42,SMALL(IF("Página Web"='03.Muestra'!$D$8:$D$42,ROW('03.Muestra'!$F$8:$F$42)-MIN(ROW('03.Muestra'!$D$8:$D$42))+1,""),ROW()-702)),"")</f>
        <v>https://www.comunidad.madrid/tacp/el-tribunal/guia-informativa-sobre-la-regulacion-del-tribunal-de-contratacion-publica-y-los</v>
      </c>
      <c r="D708" s="99" t="s">
        <v>106</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Preguntas</v>
      </c>
      <c r="C709" s="85" t="str" cm="1">
        <f t="array" ref="C709">IFERROR(INDEX('03.Muestra'!$F$8:$F$42,SMALL(IF("Página Web"='03.Muestra'!$D$8:$D$42,ROW('03.Muestra'!$F$8:$F$42)-MIN(ROW('03.Muestra'!$D$8:$D$42))+1,""),ROW()-702)),"")</f>
        <v>https://www.comunidad.madrid/tacp/faq-page</v>
      </c>
      <c r="D709" s="99" t="s">
        <v>106</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Histórico</v>
      </c>
      <c r="C710" s="85" t="str" cm="1">
        <f t="array" ref="C710">IFERROR(INDEX('03.Muestra'!$F$8:$F$42,SMALL(IF("Página Web"='03.Muestra'!$D$8:$D$42,ROW('03.Muestra'!$F$8:$F$42)-MIN(ROW('03.Muestra'!$D$8:$D$42))+1,""),ROW()-702)),"")</f>
        <v>https://www.comunidad.madrid/tacp/el-tribunal/historico-resoluciones-de-las-reclamaciones-de-acceso-informacion-publica</v>
      </c>
      <c r="D710" s="99" t="s">
        <v>106</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Estudios</v>
      </c>
      <c r="C711" s="85" t="str" cm="1">
        <f t="array" ref="C711">IFERROR(INDEX('03.Muestra'!$F$8:$F$42,SMALL(IF("Página Web"='03.Muestra'!$D$8:$D$42,ROW('03.Muestra'!$F$8:$F$42)-MIN(ROW('03.Muestra'!$D$8:$D$42))+1,""),ROW()-702)),"")</f>
        <v>https://www.comunidad.madrid/tacp/estudios</v>
      </c>
      <c r="D711" s="99" t="s">
        <v>106</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Memorias</v>
      </c>
      <c r="C712" s="85" t="str" cm="1">
        <f t="array" ref="C712">IFERROR(INDEX('03.Muestra'!$F$8:$F$42,SMALL(IF("Página Web"='03.Muestra'!$D$8:$D$42,ROW('03.Muestra'!$F$8:$F$42)-MIN(ROW('03.Muestra'!$D$8:$D$42))+1,""),ROW()-702)),"")</f>
        <v>https://www.comunidad.madrid/tacp/memorias</v>
      </c>
      <c r="D712" s="99" t="s">
        <v>106</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Busqueda Resol</v>
      </c>
      <c r="C713" s="85" t="str" cm="1">
        <f t="array" ref="C713">IFERROR(INDEX('03.Muestra'!$F$8:$F$42,SMALL(IF("Página Web"='03.Muestra'!$D$8:$D$42,ROW('03.Muestra'!$F$8:$F$42)-MIN(ROW('03.Muestra'!$D$8:$D$42))+1,""),ROW()-702)),"")</f>
        <v>https://www.comunidad.madrid/tacp/busquedaresoluciones</v>
      </c>
      <c r="D713" s="99" t="s">
        <v>106</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Novedades</v>
      </c>
      <c r="C714" s="85" t="str" cm="1">
        <f t="array" ref="C714">IFERROR(INDEX('03.Muestra'!$F$8:$F$42,SMALL(IF("Página Web"='03.Muestra'!$D$8:$D$42,ROW('03.Muestra'!$F$8:$F$42)-MIN(ROW('03.Muestra'!$D$8:$D$42))+1,""),ROW()-702)),"")</f>
        <v>https://www.comunidad.madrid/tacp/noticias</v>
      </c>
      <c r="D714" s="99" t="s">
        <v>106</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Recursos especiales</v>
      </c>
      <c r="C715" s="85" t="str" cm="1">
        <f t="array" ref="C715">IFERROR(INDEX('03.Muestra'!$F$8:$F$42,SMALL(IF("Página Web"='03.Muestra'!$D$8:$D$42,ROW('03.Muestra'!$F$8:$F$42)-MIN(ROW('03.Muestra'!$D$8:$D$42))+1,""),ROW()-702)),"")</f>
        <v>https://www.comunidad.madrid/tacp/novedades/publicacion-recursos-especiales-en-perfil-contratante</v>
      </c>
      <c r="D715" s="99" t="s">
        <v>106</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Normativa</v>
      </c>
      <c r="C716" s="85" t="str" cm="1">
        <f t="array" ref="C716">IFERROR(INDEX('03.Muestra'!$F$8:$F$42,SMALL(IF("Página Web"='03.Muestra'!$D$8:$D$42,ROW('03.Muestra'!$F$8:$F$42)-MIN(ROW('03.Muestra'!$D$8:$D$42))+1,""),ROW()-702)),"")</f>
        <v>https://www.comunidad.madrid/es/tacp/normativa</v>
      </c>
      <c r="D716" s="99" t="s">
        <v>106</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Organos Competentes</v>
      </c>
      <c r="C717" s="85" t="str" cm="1">
        <f t="array" ref="C717">IFERROR(INDEX('03.Muestra'!$F$8:$F$42,SMALL(IF("Página Web"='03.Muestra'!$D$8:$D$42,ROW('03.Muestra'!$F$8:$F$42)-MIN(ROW('03.Muestra'!$D$8:$D$42))+1,""),ROW()-702)),"")</f>
        <v>https://www.comunidad.madrid/es/tacp/otros-organos-competentes</v>
      </c>
      <c r="D717" s="99" t="s">
        <v>106</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https://www.comunidad.madrid/es/tacp/contact</v>
      </c>
      <c r="D718" s="99" t="s">
        <v>106</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Accesibilidad</v>
      </c>
      <c r="C719" s="85" t="str" cm="1">
        <f t="array" ref="C719">IFERROR(INDEX('03.Muestra'!$F$8:$F$42,SMALL(IF("Página Web"='03.Muestra'!$D$8:$D$42,ROW('03.Muestra'!$F$8:$F$42)-MIN(ROW('03.Muestra'!$D$8:$D$42))+1,""),ROW()-702)),"")</f>
        <v>https://www.comunidad.madrid/es/tacp/accesibilidad</v>
      </c>
      <c r="D719" s="99" t="s">
        <v>106</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ref="D720:D737" si="37">IF(AND(B720&lt;&gt;"",C720&lt;&gt;""),"N/T","")</f>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101</v>
      </c>
      <c r="B740" s="23" t="s">
        <v>93</v>
      </c>
      <c r="C740" s="24" t="s">
        <v>163</v>
      </c>
      <c r="D740" s="25" t="s">
        <v>103</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https://www.comunidad.madrid/tacp/</v>
      </c>
      <c r="D741" s="99" t="s">
        <v>96</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Carta del presidente</v>
      </c>
      <c r="C742" s="85" t="str" cm="1">
        <f t="array" ref="C742">IFERROR(INDEX('03.Muestra'!$F$8:$F$42,SMALL(IF("Página Web"='03.Muestra'!$D$8:$D$42,ROW('03.Muestra'!$F$8:$F$42)-MIN(ROW('03.Muestra'!$D$8:$D$42))+1,""),ROW()-740)),"")</f>
        <v>https://www.comunidad.madrid/tacp/carta-del-presidente</v>
      </c>
      <c r="D742" s="99" t="s">
        <v>96</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17</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Organización</v>
      </c>
      <c r="C743" s="85" t="str" cm="1">
        <f t="array" ref="C743">IFERROR(INDEX('03.Muestra'!$F$8:$F$42,SMALL(IF("Página Web"='03.Muestra'!$D$8:$D$42,ROW('03.Muestra'!$F$8:$F$42)-MIN(ROW('03.Muestra'!$D$8:$D$42))+1,""),ROW()-740)),"")</f>
        <v>https://www.comunidad.madrid/tacp/el-tribunal/organización</v>
      </c>
      <c r="D743" s="99" t="s">
        <v>96</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Acuerdos</v>
      </c>
      <c r="C744" s="85" t="str" cm="1">
        <f t="array" ref="C744">IFERROR(INDEX('03.Muestra'!$F$8:$F$42,SMALL(IF("Página Web"='03.Muestra'!$D$8:$D$42,ROW('03.Muestra'!$F$8:$F$42)-MIN(ROW('03.Muestra'!$D$8:$D$42))+1,""),ROW()-740)),"")</f>
        <v>https://www.comunidad.madrid/tacp/el-tribunal/acuerdos-del-tacp</v>
      </c>
      <c r="D744" s="99" t="s">
        <v>96</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Presentacion</v>
      </c>
      <c r="C745" s="85" t="str" cm="1">
        <f t="array" ref="C745">IFERROR(INDEX('03.Muestra'!$F$8:$F$42,SMALL(IF("Página Web"='03.Muestra'!$D$8:$D$42,ROW('03.Muestra'!$F$8:$F$42)-MIN(ROW('03.Muestra'!$D$8:$D$42))+1,""),ROW()-740)),"")</f>
        <v>https://www.comunidad.madrid/tacp/el-tribunal/presentacion-electronica-e-impresos-normalizados</v>
      </c>
      <c r="D745" s="99" t="s">
        <v>96</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Guia</v>
      </c>
      <c r="C746" s="85" t="str" cm="1">
        <f t="array" ref="C746">IFERROR(INDEX('03.Muestra'!$F$8:$F$42,SMALL(IF("Página Web"='03.Muestra'!$D$8:$D$42,ROW('03.Muestra'!$F$8:$F$42)-MIN(ROW('03.Muestra'!$D$8:$D$42))+1,""),ROW()-740)),"")</f>
        <v>https://www.comunidad.madrid/tacp/el-tribunal/guia-informativa-sobre-la-regulacion-del-tribunal-de-contratacion-publica-y-los</v>
      </c>
      <c r="D746" s="99" t="s">
        <v>96</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Preguntas</v>
      </c>
      <c r="C747" s="85" t="str" cm="1">
        <f t="array" ref="C747">IFERROR(INDEX('03.Muestra'!$F$8:$F$42,SMALL(IF("Página Web"='03.Muestra'!$D$8:$D$42,ROW('03.Muestra'!$F$8:$F$42)-MIN(ROW('03.Muestra'!$D$8:$D$42))+1,""),ROW()-740)),"")</f>
        <v>https://www.comunidad.madrid/tacp/faq-page</v>
      </c>
      <c r="D747" s="99" t="s">
        <v>96</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Histórico</v>
      </c>
      <c r="C748" s="85" t="str" cm="1">
        <f t="array" ref="C748">IFERROR(INDEX('03.Muestra'!$F$8:$F$42,SMALL(IF("Página Web"='03.Muestra'!$D$8:$D$42,ROW('03.Muestra'!$F$8:$F$42)-MIN(ROW('03.Muestra'!$D$8:$D$42))+1,""),ROW()-740)),"")</f>
        <v>https://www.comunidad.madrid/tacp/el-tribunal/historico-resoluciones-de-las-reclamaciones-de-acceso-informacion-publica</v>
      </c>
      <c r="D748" s="99" t="s">
        <v>96</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Estudios</v>
      </c>
      <c r="C749" s="85" t="str" cm="1">
        <f t="array" ref="C749">IFERROR(INDEX('03.Muestra'!$F$8:$F$42,SMALL(IF("Página Web"='03.Muestra'!$D$8:$D$42,ROW('03.Muestra'!$F$8:$F$42)-MIN(ROW('03.Muestra'!$D$8:$D$42))+1,""),ROW()-740)),"")</f>
        <v>https://www.comunidad.madrid/tacp/estudios</v>
      </c>
      <c r="D749" s="99" t="s">
        <v>96</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Memorias</v>
      </c>
      <c r="C750" s="85" t="str" cm="1">
        <f t="array" ref="C750">IFERROR(INDEX('03.Muestra'!$F$8:$F$42,SMALL(IF("Página Web"='03.Muestra'!$D$8:$D$42,ROW('03.Muestra'!$F$8:$F$42)-MIN(ROW('03.Muestra'!$D$8:$D$42))+1,""),ROW()-740)),"")</f>
        <v>https://www.comunidad.madrid/tacp/memorias</v>
      </c>
      <c r="D750" s="99" t="s">
        <v>96</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Busqueda Resol</v>
      </c>
      <c r="C751" s="85" t="str" cm="1">
        <f t="array" ref="C751">IFERROR(INDEX('03.Muestra'!$F$8:$F$42,SMALL(IF("Página Web"='03.Muestra'!$D$8:$D$42,ROW('03.Muestra'!$F$8:$F$42)-MIN(ROW('03.Muestra'!$D$8:$D$42))+1,""),ROW()-740)),"")</f>
        <v>https://www.comunidad.madrid/tacp/busquedaresoluciones</v>
      </c>
      <c r="D751" s="99" t="s">
        <v>96</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Novedades</v>
      </c>
      <c r="C752" s="85" t="str" cm="1">
        <f t="array" ref="C752">IFERROR(INDEX('03.Muestra'!$F$8:$F$42,SMALL(IF("Página Web"='03.Muestra'!$D$8:$D$42,ROW('03.Muestra'!$F$8:$F$42)-MIN(ROW('03.Muestra'!$D$8:$D$42))+1,""),ROW()-740)),"")</f>
        <v>https://www.comunidad.madrid/tacp/noticias</v>
      </c>
      <c r="D752" s="99" t="s">
        <v>96</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Recursos especiales</v>
      </c>
      <c r="C753" s="85" t="str" cm="1">
        <f t="array" ref="C753">IFERROR(INDEX('03.Muestra'!$F$8:$F$42,SMALL(IF("Página Web"='03.Muestra'!$D$8:$D$42,ROW('03.Muestra'!$F$8:$F$42)-MIN(ROW('03.Muestra'!$D$8:$D$42))+1,""),ROW()-740)),"")</f>
        <v>https://www.comunidad.madrid/tacp/novedades/publicacion-recursos-especiales-en-perfil-contratante</v>
      </c>
      <c r="D753" s="99" t="s">
        <v>96</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Normativa</v>
      </c>
      <c r="C754" s="85" t="str" cm="1">
        <f t="array" ref="C754">IFERROR(INDEX('03.Muestra'!$F$8:$F$42,SMALL(IF("Página Web"='03.Muestra'!$D$8:$D$42,ROW('03.Muestra'!$F$8:$F$42)-MIN(ROW('03.Muestra'!$D$8:$D$42))+1,""),ROW()-740)),"")</f>
        <v>https://www.comunidad.madrid/es/tacp/normativa</v>
      </c>
      <c r="D754" s="99" t="s">
        <v>96</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Organos Competentes</v>
      </c>
      <c r="C755" s="85" t="str" cm="1">
        <f t="array" ref="C755">IFERROR(INDEX('03.Muestra'!$F$8:$F$42,SMALL(IF("Página Web"='03.Muestra'!$D$8:$D$42,ROW('03.Muestra'!$F$8:$F$42)-MIN(ROW('03.Muestra'!$D$8:$D$42))+1,""),ROW()-740)),"")</f>
        <v>https://www.comunidad.madrid/es/tacp/otros-organos-competentes</v>
      </c>
      <c r="D755" s="99" t="s">
        <v>96</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Contacto</v>
      </c>
      <c r="C756" s="85" t="str" cm="1">
        <f t="array" ref="C756">IFERROR(INDEX('03.Muestra'!$F$8:$F$42,SMALL(IF("Página Web"='03.Muestra'!$D$8:$D$42,ROW('03.Muestra'!$F$8:$F$42)-MIN(ROW('03.Muestra'!$D$8:$D$42))+1,""),ROW()-740)),"")</f>
        <v>https://www.comunidad.madrid/es/tacp/contact</v>
      </c>
      <c r="D756" s="99" t="s">
        <v>96</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Accesibilidad</v>
      </c>
      <c r="C757" s="85" t="str" cm="1">
        <f t="array" ref="C757">IFERROR(INDEX('03.Muestra'!$F$8:$F$42,SMALL(IF("Página Web"='03.Muestra'!$D$8:$D$42,ROW('03.Muestra'!$F$8:$F$42)-MIN(ROW('03.Muestra'!$D$8:$D$42))+1,""),ROW()-740)),"")</f>
        <v>https://www.comunidad.madrid/es/tacp/accesibilidad</v>
      </c>
      <c r="D757" s="99" t="s">
        <v>96</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ref="D758:D775" si="39">IF(AND(B758&lt;&gt;"",C758&lt;&gt;""),"N/T","")</f>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101</v>
      </c>
      <c r="B778" s="23" t="s">
        <v>93</v>
      </c>
      <c r="C778" s="24" t="s">
        <v>164</v>
      </c>
      <c r="D778" s="25" t="s">
        <v>103</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https://www.comunidad.madrid/tacp/</v>
      </c>
      <c r="D779" s="99" t="s">
        <v>94</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Carta del presidente</v>
      </c>
      <c r="C780" s="85" t="str" cm="1">
        <f t="array" ref="C780">IFERROR(INDEX('03.Muestra'!$F$8:$F$42,SMALL(IF("Página Web"='03.Muestra'!$D$8:$D$42,ROW('03.Muestra'!$F$8:$F$42)-MIN(ROW('03.Muestra'!$D$8:$D$42))+1,""),ROW()-778)),"")</f>
        <v>https://www.comunidad.madrid/tacp/carta-del-presidente</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17</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Organización</v>
      </c>
      <c r="C781" s="85" t="str" cm="1">
        <f t="array" ref="C781">IFERROR(INDEX('03.Muestra'!$F$8:$F$42,SMALL(IF("Página Web"='03.Muestra'!$D$8:$D$42,ROW('03.Muestra'!$F$8:$F$42)-MIN(ROW('03.Muestra'!$D$8:$D$42))+1,""),ROW()-778)),"")</f>
        <v>https://www.comunidad.madrid/tacp/el-tribunal/organización</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Acuerdos</v>
      </c>
      <c r="C782" s="85" t="str" cm="1">
        <f t="array" ref="C782">IFERROR(INDEX('03.Muestra'!$F$8:$F$42,SMALL(IF("Página Web"='03.Muestra'!$D$8:$D$42,ROW('03.Muestra'!$F$8:$F$42)-MIN(ROW('03.Muestra'!$D$8:$D$42))+1,""),ROW()-778)),"")</f>
        <v>https://www.comunidad.madrid/tacp/el-tribunal/acuerdos-del-tacp</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Presentacion</v>
      </c>
      <c r="C783" s="85" t="str" cm="1">
        <f t="array" ref="C783">IFERROR(INDEX('03.Muestra'!$F$8:$F$42,SMALL(IF("Página Web"='03.Muestra'!$D$8:$D$42,ROW('03.Muestra'!$F$8:$F$42)-MIN(ROW('03.Muestra'!$D$8:$D$42))+1,""),ROW()-778)),"")</f>
        <v>https://www.comunidad.madrid/tacp/el-tribunal/presentacion-electronica-e-impresos-normalizados</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Guia</v>
      </c>
      <c r="C784" s="85" t="str" cm="1">
        <f t="array" ref="C784">IFERROR(INDEX('03.Muestra'!$F$8:$F$42,SMALL(IF("Página Web"='03.Muestra'!$D$8:$D$42,ROW('03.Muestra'!$F$8:$F$42)-MIN(ROW('03.Muestra'!$D$8:$D$42))+1,""),ROW()-778)),"")</f>
        <v>https://www.comunidad.madrid/tacp/el-tribunal/guia-informativa-sobre-la-regulacion-del-tribunal-de-contratacion-publica-y-los</v>
      </c>
      <c r="D784" s="99" t="s">
        <v>94</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Preguntas</v>
      </c>
      <c r="C785" s="85" t="str" cm="1">
        <f t="array" ref="C785">IFERROR(INDEX('03.Muestra'!$F$8:$F$42,SMALL(IF("Página Web"='03.Muestra'!$D$8:$D$42,ROW('03.Muestra'!$F$8:$F$42)-MIN(ROW('03.Muestra'!$D$8:$D$42))+1,""),ROW()-778)),"")</f>
        <v>https://www.comunidad.madrid/tacp/faq-page</v>
      </c>
      <c r="D785" s="99" t="s">
        <v>94</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Histórico</v>
      </c>
      <c r="C786" s="85" t="str" cm="1">
        <f t="array" ref="C786">IFERROR(INDEX('03.Muestra'!$F$8:$F$42,SMALL(IF("Página Web"='03.Muestra'!$D$8:$D$42,ROW('03.Muestra'!$F$8:$F$42)-MIN(ROW('03.Muestra'!$D$8:$D$42))+1,""),ROW()-778)),"")</f>
        <v>https://www.comunidad.madrid/tacp/el-tribunal/historico-resoluciones-de-las-reclamaciones-de-acceso-informacion-publica</v>
      </c>
      <c r="D786" s="99" t="s">
        <v>94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Estudios</v>
      </c>
      <c r="C787" s="85" t="str" cm="1">
        <f t="array" ref="C787">IFERROR(INDEX('03.Muestra'!$F$8:$F$42,SMALL(IF("Página Web"='03.Muestra'!$D$8:$D$42,ROW('03.Muestra'!$F$8:$F$42)-MIN(ROW('03.Muestra'!$D$8:$D$42))+1,""),ROW()-778)),"")</f>
        <v>https://www.comunidad.madrid/tacp/estudios</v>
      </c>
      <c r="D787" s="99" t="s">
        <v>94</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Memorias</v>
      </c>
      <c r="C788" s="85" t="str" cm="1">
        <f t="array" ref="C788">IFERROR(INDEX('03.Muestra'!$F$8:$F$42,SMALL(IF("Página Web"='03.Muestra'!$D$8:$D$42,ROW('03.Muestra'!$F$8:$F$42)-MIN(ROW('03.Muestra'!$D$8:$D$42))+1,""),ROW()-778)),"")</f>
        <v>https://www.comunidad.madrid/tacp/memorias</v>
      </c>
      <c r="D788" s="99" t="s">
        <v>94</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Busqueda Resol</v>
      </c>
      <c r="C789" s="85" t="str" cm="1">
        <f t="array" ref="C789">IFERROR(INDEX('03.Muestra'!$F$8:$F$42,SMALL(IF("Página Web"='03.Muestra'!$D$8:$D$42,ROW('03.Muestra'!$F$8:$F$42)-MIN(ROW('03.Muestra'!$D$8:$D$42))+1,""),ROW()-778)),"")</f>
        <v>https://www.comunidad.madrid/tacp/busquedaresoluciones</v>
      </c>
      <c r="D789" s="99" t="s">
        <v>94</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Novedades</v>
      </c>
      <c r="C790" s="85" t="str" cm="1">
        <f t="array" ref="C790">IFERROR(INDEX('03.Muestra'!$F$8:$F$42,SMALL(IF("Página Web"='03.Muestra'!$D$8:$D$42,ROW('03.Muestra'!$F$8:$F$42)-MIN(ROW('03.Muestra'!$D$8:$D$42))+1,""),ROW()-778)),"")</f>
        <v>https://www.comunidad.madrid/tacp/noticias</v>
      </c>
      <c r="D790" s="99" t="s">
        <v>94</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Recursos especiales</v>
      </c>
      <c r="C791" s="85" t="str" cm="1">
        <f t="array" ref="C791">IFERROR(INDEX('03.Muestra'!$F$8:$F$42,SMALL(IF("Página Web"='03.Muestra'!$D$8:$D$42,ROW('03.Muestra'!$F$8:$F$42)-MIN(ROW('03.Muestra'!$D$8:$D$42))+1,""),ROW()-778)),"")</f>
        <v>https://www.comunidad.madrid/tacp/novedades/publicacion-recursos-especiales-en-perfil-contratante</v>
      </c>
      <c r="D791" s="99" t="s">
        <v>94</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Normativa</v>
      </c>
      <c r="C792" s="85" t="str" cm="1">
        <f t="array" ref="C792">IFERROR(INDEX('03.Muestra'!$F$8:$F$42,SMALL(IF("Página Web"='03.Muestra'!$D$8:$D$42,ROW('03.Muestra'!$F$8:$F$42)-MIN(ROW('03.Muestra'!$D$8:$D$42))+1,""),ROW()-778)),"")</f>
        <v>https://www.comunidad.madrid/es/tacp/normativa</v>
      </c>
      <c r="D792" s="99" t="s">
        <v>94</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Organos Competentes</v>
      </c>
      <c r="C793" s="85" t="str" cm="1">
        <f t="array" ref="C793">IFERROR(INDEX('03.Muestra'!$F$8:$F$42,SMALL(IF("Página Web"='03.Muestra'!$D$8:$D$42,ROW('03.Muestra'!$F$8:$F$42)-MIN(ROW('03.Muestra'!$D$8:$D$42))+1,""),ROW()-778)),"")</f>
        <v>https://www.comunidad.madrid/es/tacp/otros-organos-competentes</v>
      </c>
      <c r="D793" s="99" t="s">
        <v>94</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Contacto</v>
      </c>
      <c r="C794" s="85" t="str" cm="1">
        <f t="array" ref="C794">IFERROR(INDEX('03.Muestra'!$F$8:$F$42,SMALL(IF("Página Web"='03.Muestra'!$D$8:$D$42,ROW('03.Muestra'!$F$8:$F$42)-MIN(ROW('03.Muestra'!$D$8:$D$42))+1,""),ROW()-778)),"")</f>
        <v>https://www.comunidad.madrid/es/tacp/contact</v>
      </c>
      <c r="D794" s="99" t="s">
        <v>94</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Accesibilidad</v>
      </c>
      <c r="C795" s="85" t="str" cm="1">
        <f t="array" ref="C795">IFERROR(INDEX('03.Muestra'!$F$8:$F$42,SMALL(IF("Página Web"='03.Muestra'!$D$8:$D$42,ROW('03.Muestra'!$F$8:$F$42)-MIN(ROW('03.Muestra'!$D$8:$D$42))+1,""),ROW()-778)),"")</f>
        <v>https://www.comunidad.madrid/es/tacp/accesibilidad</v>
      </c>
      <c r="D795" s="99" t="s">
        <v>94</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ref="D796:D813" si="41">IF(AND(B796&lt;&gt;"",C796&lt;&gt;""),"N/T","")</f>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101</v>
      </c>
      <c r="B816" s="23" t="s">
        <v>93</v>
      </c>
      <c r="C816" s="24" t="s">
        <v>165</v>
      </c>
      <c r="D816" s="25" t="s">
        <v>103</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https://www.comunidad.madrid/tacp/</v>
      </c>
      <c r="D817" s="99" t="s">
        <v>106</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Carta del presidente</v>
      </c>
      <c r="C818" s="85" t="str" cm="1">
        <f t="array" ref="C818">IFERROR(INDEX('03.Muestra'!$F$8:$F$42,SMALL(IF("Página Web"='03.Muestra'!$D$8:$D$42,ROW('03.Muestra'!$F$8:$F$42)-MIN(ROW('03.Muestra'!$D$8:$D$42))+1,""),ROW()-816)),"")</f>
        <v>https://www.comunidad.madrid/tacp/carta-del-presidente</v>
      </c>
      <c r="D818" s="99" t="s">
        <v>106</v>
      </c>
      <c r="E818" s="79" t="str">
        <f t="shared" si="42"/>
        <v/>
      </c>
      <c r="F818" s="91">
        <f ca="1">COUNTIF($D817:INDIRECT("$D" &amp;  SUM(ROW()-1,'03.Muestra'!$D$45)-1),F817)</f>
        <v>0</v>
      </c>
      <c r="G818" s="91">
        <f ca="1">COUNTIF($D817:INDIRECT("$D" &amp;  SUM(ROW()-1,'03.Muestra'!$D$45)-1),G817)</f>
        <v>0</v>
      </c>
      <c r="H818" s="91">
        <f ca="1">COUNTIF($D817:INDIRECT("$D" &amp;  SUM(ROW()-1,'03.Muestra'!$D$45)-1),H817)</f>
        <v>17</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Organización</v>
      </c>
      <c r="C819" s="85" t="str" cm="1">
        <f t="array" ref="C819">IFERROR(INDEX('03.Muestra'!$F$8:$F$42,SMALL(IF("Página Web"='03.Muestra'!$D$8:$D$42,ROW('03.Muestra'!$F$8:$F$42)-MIN(ROW('03.Muestra'!$D$8:$D$42))+1,""),ROW()-816)),"")</f>
        <v>https://www.comunidad.madrid/tacp/el-tribunal/organización</v>
      </c>
      <c r="D819" s="99" t="s">
        <v>106</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Acuerdos</v>
      </c>
      <c r="C820" s="85" t="str" cm="1">
        <f t="array" ref="C820">IFERROR(INDEX('03.Muestra'!$F$8:$F$42,SMALL(IF("Página Web"='03.Muestra'!$D$8:$D$42,ROW('03.Muestra'!$F$8:$F$42)-MIN(ROW('03.Muestra'!$D$8:$D$42))+1,""),ROW()-816)),"")</f>
        <v>https://www.comunidad.madrid/tacp/el-tribunal/acuerdos-del-tacp</v>
      </c>
      <c r="D820" s="99" t="s">
        <v>106</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Presentacion</v>
      </c>
      <c r="C821" s="85" t="str" cm="1">
        <f t="array" ref="C821">IFERROR(INDEX('03.Muestra'!$F$8:$F$42,SMALL(IF("Página Web"='03.Muestra'!$D$8:$D$42,ROW('03.Muestra'!$F$8:$F$42)-MIN(ROW('03.Muestra'!$D$8:$D$42))+1,""),ROW()-816)),"")</f>
        <v>https://www.comunidad.madrid/tacp/el-tribunal/presentacion-electronica-e-impresos-normalizados</v>
      </c>
      <c r="D821" s="99" t="s">
        <v>106</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Guia</v>
      </c>
      <c r="C822" s="85" t="str" cm="1">
        <f t="array" ref="C822">IFERROR(INDEX('03.Muestra'!$F$8:$F$42,SMALL(IF("Página Web"='03.Muestra'!$D$8:$D$42,ROW('03.Muestra'!$F$8:$F$42)-MIN(ROW('03.Muestra'!$D$8:$D$42))+1,""),ROW()-816)),"")</f>
        <v>https://www.comunidad.madrid/tacp/el-tribunal/guia-informativa-sobre-la-regulacion-del-tribunal-de-contratacion-publica-y-los</v>
      </c>
      <c r="D822" s="99" t="s">
        <v>106</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Preguntas</v>
      </c>
      <c r="C823" s="85" t="str" cm="1">
        <f t="array" ref="C823">IFERROR(INDEX('03.Muestra'!$F$8:$F$42,SMALL(IF("Página Web"='03.Muestra'!$D$8:$D$42,ROW('03.Muestra'!$F$8:$F$42)-MIN(ROW('03.Muestra'!$D$8:$D$42))+1,""),ROW()-816)),"")</f>
        <v>https://www.comunidad.madrid/tacp/faq-page</v>
      </c>
      <c r="D823" s="99" t="s">
        <v>106</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Histórico</v>
      </c>
      <c r="C824" s="85" t="str" cm="1">
        <f t="array" ref="C824">IFERROR(INDEX('03.Muestra'!$F$8:$F$42,SMALL(IF("Página Web"='03.Muestra'!$D$8:$D$42,ROW('03.Muestra'!$F$8:$F$42)-MIN(ROW('03.Muestra'!$D$8:$D$42))+1,""),ROW()-816)),"")</f>
        <v>https://www.comunidad.madrid/tacp/el-tribunal/historico-resoluciones-de-las-reclamaciones-de-acceso-informacion-publica</v>
      </c>
      <c r="D824" s="99" t="s">
        <v>106</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Estudios</v>
      </c>
      <c r="C825" s="85" t="str" cm="1">
        <f t="array" ref="C825">IFERROR(INDEX('03.Muestra'!$F$8:$F$42,SMALL(IF("Página Web"='03.Muestra'!$D$8:$D$42,ROW('03.Muestra'!$F$8:$F$42)-MIN(ROW('03.Muestra'!$D$8:$D$42))+1,""),ROW()-816)),"")</f>
        <v>https://www.comunidad.madrid/tacp/estudios</v>
      </c>
      <c r="D825" s="99" t="s">
        <v>106</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Memorias</v>
      </c>
      <c r="C826" s="85" t="str" cm="1">
        <f t="array" ref="C826">IFERROR(INDEX('03.Muestra'!$F$8:$F$42,SMALL(IF("Página Web"='03.Muestra'!$D$8:$D$42,ROW('03.Muestra'!$F$8:$F$42)-MIN(ROW('03.Muestra'!$D$8:$D$42))+1,""),ROW()-816)),"")</f>
        <v>https://www.comunidad.madrid/tacp/memorias</v>
      </c>
      <c r="D826" s="99" t="s">
        <v>106</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Busqueda Resol</v>
      </c>
      <c r="C827" s="85" t="str" cm="1">
        <f t="array" ref="C827">IFERROR(INDEX('03.Muestra'!$F$8:$F$42,SMALL(IF("Página Web"='03.Muestra'!$D$8:$D$42,ROW('03.Muestra'!$F$8:$F$42)-MIN(ROW('03.Muestra'!$D$8:$D$42))+1,""),ROW()-816)),"")</f>
        <v>https://www.comunidad.madrid/tacp/busquedaresoluciones</v>
      </c>
      <c r="D827" s="99" t="s">
        <v>106</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Novedades</v>
      </c>
      <c r="C828" s="85" t="str" cm="1">
        <f t="array" ref="C828">IFERROR(INDEX('03.Muestra'!$F$8:$F$42,SMALL(IF("Página Web"='03.Muestra'!$D$8:$D$42,ROW('03.Muestra'!$F$8:$F$42)-MIN(ROW('03.Muestra'!$D$8:$D$42))+1,""),ROW()-816)),"")</f>
        <v>https://www.comunidad.madrid/tacp/noticias</v>
      </c>
      <c r="D828" s="99" t="s">
        <v>106</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Recursos especiales</v>
      </c>
      <c r="C829" s="85" t="str" cm="1">
        <f t="array" ref="C829">IFERROR(INDEX('03.Muestra'!$F$8:$F$42,SMALL(IF("Página Web"='03.Muestra'!$D$8:$D$42,ROW('03.Muestra'!$F$8:$F$42)-MIN(ROW('03.Muestra'!$D$8:$D$42))+1,""),ROW()-816)),"")</f>
        <v>https://www.comunidad.madrid/tacp/novedades/publicacion-recursos-especiales-en-perfil-contratante</v>
      </c>
      <c r="D829" s="99" t="s">
        <v>106</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Normativa</v>
      </c>
      <c r="C830" s="85" t="str" cm="1">
        <f t="array" ref="C830">IFERROR(INDEX('03.Muestra'!$F$8:$F$42,SMALL(IF("Página Web"='03.Muestra'!$D$8:$D$42,ROW('03.Muestra'!$F$8:$F$42)-MIN(ROW('03.Muestra'!$D$8:$D$42))+1,""),ROW()-816)),"")</f>
        <v>https://www.comunidad.madrid/es/tacp/normativa</v>
      </c>
      <c r="D830" s="99" t="s">
        <v>106</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Organos Competentes</v>
      </c>
      <c r="C831" s="85" t="str" cm="1">
        <f t="array" ref="C831">IFERROR(INDEX('03.Muestra'!$F$8:$F$42,SMALL(IF("Página Web"='03.Muestra'!$D$8:$D$42,ROW('03.Muestra'!$F$8:$F$42)-MIN(ROW('03.Muestra'!$D$8:$D$42))+1,""),ROW()-816)),"")</f>
        <v>https://www.comunidad.madrid/es/tacp/otros-organos-competentes</v>
      </c>
      <c r="D831" s="99" t="s">
        <v>106</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Contacto</v>
      </c>
      <c r="C832" s="85" t="str" cm="1">
        <f t="array" ref="C832">IFERROR(INDEX('03.Muestra'!$F$8:$F$42,SMALL(IF("Página Web"='03.Muestra'!$D$8:$D$42,ROW('03.Muestra'!$F$8:$F$42)-MIN(ROW('03.Muestra'!$D$8:$D$42))+1,""),ROW()-816)),"")</f>
        <v>https://www.comunidad.madrid/es/tacp/contact</v>
      </c>
      <c r="D832" s="99" t="s">
        <v>106</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Accesibilidad</v>
      </c>
      <c r="C833" s="85" t="str" cm="1">
        <f t="array" ref="C833">IFERROR(INDEX('03.Muestra'!$F$8:$F$42,SMALL(IF("Página Web"='03.Muestra'!$D$8:$D$42,ROW('03.Muestra'!$F$8:$F$42)-MIN(ROW('03.Muestra'!$D$8:$D$42))+1,""),ROW()-816)),"")</f>
        <v>https://www.comunidad.madrid/es/tacp/accesibilidad</v>
      </c>
      <c r="D833" s="99" t="s">
        <v>106</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ref="D834:D851" si="43">IF(AND(B834&lt;&gt;"",C834&lt;&gt;""),"N/T","")</f>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101</v>
      </c>
      <c r="B854" s="23" t="s">
        <v>93</v>
      </c>
      <c r="C854" s="24" t="s">
        <v>166</v>
      </c>
      <c r="D854" s="25" t="s">
        <v>103</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https://www.comunidad.madrid/tacp/</v>
      </c>
      <c r="D855" s="99" t="s">
        <v>106</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Carta del presidente</v>
      </c>
      <c r="C856" s="85" t="str" cm="1">
        <f t="array" ref="C856">IFERROR(INDEX('03.Muestra'!$F$8:$F$42,SMALL(IF("Página Web"='03.Muestra'!$D$8:$D$42,ROW('03.Muestra'!$F$8:$F$42)-MIN(ROW('03.Muestra'!$D$8:$D$42))+1,""),ROW()-854)),"")</f>
        <v>https://www.comunidad.madrid/tacp/carta-del-presidente</v>
      </c>
      <c r="D856" s="99" t="s">
        <v>106</v>
      </c>
      <c r="E856" s="79" t="str">
        <f t="shared" si="44"/>
        <v/>
      </c>
      <c r="F856" s="91">
        <f ca="1">COUNTIF($D855:INDIRECT("$D" &amp;  SUM(ROW()-1,'03.Muestra'!$D$45)-1),F855)</f>
        <v>0</v>
      </c>
      <c r="G856" s="91">
        <f ca="1">COUNTIF($D855:INDIRECT("$D" &amp;  SUM(ROW()-1,'03.Muestra'!$D$45)-1),G855)</f>
        <v>0</v>
      </c>
      <c r="H856" s="91">
        <f ca="1">COUNTIF($D855:INDIRECT("$D" &amp;  SUM(ROW()-1,'03.Muestra'!$D$45)-1),H855)</f>
        <v>17</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Organización</v>
      </c>
      <c r="C857" s="85" t="str" cm="1">
        <f t="array" ref="C857">IFERROR(INDEX('03.Muestra'!$F$8:$F$42,SMALL(IF("Página Web"='03.Muestra'!$D$8:$D$42,ROW('03.Muestra'!$F$8:$F$42)-MIN(ROW('03.Muestra'!$D$8:$D$42))+1,""),ROW()-854)),"")</f>
        <v>https://www.comunidad.madrid/tacp/el-tribunal/organización</v>
      </c>
      <c r="D857" s="99" t="s">
        <v>106</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Acuerdos</v>
      </c>
      <c r="C858" s="85" t="str" cm="1">
        <f t="array" ref="C858">IFERROR(INDEX('03.Muestra'!$F$8:$F$42,SMALL(IF("Página Web"='03.Muestra'!$D$8:$D$42,ROW('03.Muestra'!$F$8:$F$42)-MIN(ROW('03.Muestra'!$D$8:$D$42))+1,""),ROW()-854)),"")</f>
        <v>https://www.comunidad.madrid/tacp/el-tribunal/acuerdos-del-tacp</v>
      </c>
      <c r="D858" s="99" t="s">
        <v>106</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Presentacion</v>
      </c>
      <c r="C859" s="85" t="str" cm="1">
        <f t="array" ref="C859">IFERROR(INDEX('03.Muestra'!$F$8:$F$42,SMALL(IF("Página Web"='03.Muestra'!$D$8:$D$42,ROW('03.Muestra'!$F$8:$F$42)-MIN(ROW('03.Muestra'!$D$8:$D$42))+1,""),ROW()-854)),"")</f>
        <v>https://www.comunidad.madrid/tacp/el-tribunal/presentacion-electronica-e-impresos-normalizados</v>
      </c>
      <c r="D859" s="99" t="s">
        <v>106</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Guia</v>
      </c>
      <c r="C860" s="85" t="str" cm="1">
        <f t="array" ref="C860">IFERROR(INDEX('03.Muestra'!$F$8:$F$42,SMALL(IF("Página Web"='03.Muestra'!$D$8:$D$42,ROW('03.Muestra'!$F$8:$F$42)-MIN(ROW('03.Muestra'!$D$8:$D$42))+1,""),ROW()-854)),"")</f>
        <v>https://www.comunidad.madrid/tacp/el-tribunal/guia-informativa-sobre-la-regulacion-del-tribunal-de-contratacion-publica-y-los</v>
      </c>
      <c r="D860" s="99" t="s">
        <v>106</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Preguntas</v>
      </c>
      <c r="C861" s="85" t="str" cm="1">
        <f t="array" ref="C861">IFERROR(INDEX('03.Muestra'!$F$8:$F$42,SMALL(IF("Página Web"='03.Muestra'!$D$8:$D$42,ROW('03.Muestra'!$F$8:$F$42)-MIN(ROW('03.Muestra'!$D$8:$D$42))+1,""),ROW()-854)),"")</f>
        <v>https://www.comunidad.madrid/tacp/faq-page</v>
      </c>
      <c r="D861" s="99" t="s">
        <v>106</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Histórico</v>
      </c>
      <c r="C862" s="85" t="str" cm="1">
        <f t="array" ref="C862">IFERROR(INDEX('03.Muestra'!$F$8:$F$42,SMALL(IF("Página Web"='03.Muestra'!$D$8:$D$42,ROW('03.Muestra'!$F$8:$F$42)-MIN(ROW('03.Muestra'!$D$8:$D$42))+1,""),ROW()-854)),"")</f>
        <v>https://www.comunidad.madrid/tacp/el-tribunal/historico-resoluciones-de-las-reclamaciones-de-acceso-informacion-publica</v>
      </c>
      <c r="D862" s="99" t="s">
        <v>106</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Estudios</v>
      </c>
      <c r="C863" s="85" t="str" cm="1">
        <f t="array" ref="C863">IFERROR(INDEX('03.Muestra'!$F$8:$F$42,SMALL(IF("Página Web"='03.Muestra'!$D$8:$D$42,ROW('03.Muestra'!$F$8:$F$42)-MIN(ROW('03.Muestra'!$D$8:$D$42))+1,""),ROW()-854)),"")</f>
        <v>https://www.comunidad.madrid/tacp/estudios</v>
      </c>
      <c r="D863" s="99" t="s">
        <v>106</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Memorias</v>
      </c>
      <c r="C864" s="85" t="str" cm="1">
        <f t="array" ref="C864">IFERROR(INDEX('03.Muestra'!$F$8:$F$42,SMALL(IF("Página Web"='03.Muestra'!$D$8:$D$42,ROW('03.Muestra'!$F$8:$F$42)-MIN(ROW('03.Muestra'!$D$8:$D$42))+1,""),ROW()-854)),"")</f>
        <v>https://www.comunidad.madrid/tacp/memorias</v>
      </c>
      <c r="D864" s="99" t="s">
        <v>106</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Busqueda Resol</v>
      </c>
      <c r="C865" s="85" t="str" cm="1">
        <f t="array" ref="C865">IFERROR(INDEX('03.Muestra'!$F$8:$F$42,SMALL(IF("Página Web"='03.Muestra'!$D$8:$D$42,ROW('03.Muestra'!$F$8:$F$42)-MIN(ROW('03.Muestra'!$D$8:$D$42))+1,""),ROW()-854)),"")</f>
        <v>https://www.comunidad.madrid/tacp/busquedaresoluciones</v>
      </c>
      <c r="D865" s="99" t="s">
        <v>106</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Novedades</v>
      </c>
      <c r="C866" s="85" t="str" cm="1">
        <f t="array" ref="C866">IFERROR(INDEX('03.Muestra'!$F$8:$F$42,SMALL(IF("Página Web"='03.Muestra'!$D$8:$D$42,ROW('03.Muestra'!$F$8:$F$42)-MIN(ROW('03.Muestra'!$D$8:$D$42))+1,""),ROW()-854)),"")</f>
        <v>https://www.comunidad.madrid/tacp/noticias</v>
      </c>
      <c r="D866" s="99" t="s">
        <v>106</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Recursos especiales</v>
      </c>
      <c r="C867" s="85" t="str" cm="1">
        <f t="array" ref="C867">IFERROR(INDEX('03.Muestra'!$F$8:$F$42,SMALL(IF("Página Web"='03.Muestra'!$D$8:$D$42,ROW('03.Muestra'!$F$8:$F$42)-MIN(ROW('03.Muestra'!$D$8:$D$42))+1,""),ROW()-854)),"")</f>
        <v>https://www.comunidad.madrid/tacp/novedades/publicacion-recursos-especiales-en-perfil-contratante</v>
      </c>
      <c r="D867" s="99" t="s">
        <v>106</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Normativa</v>
      </c>
      <c r="C868" s="85" t="str" cm="1">
        <f t="array" ref="C868">IFERROR(INDEX('03.Muestra'!$F$8:$F$42,SMALL(IF("Página Web"='03.Muestra'!$D$8:$D$42,ROW('03.Muestra'!$F$8:$F$42)-MIN(ROW('03.Muestra'!$D$8:$D$42))+1,""),ROW()-854)),"")</f>
        <v>https://www.comunidad.madrid/es/tacp/normativa</v>
      </c>
      <c r="D868" s="99" t="s">
        <v>106</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Organos Competentes</v>
      </c>
      <c r="C869" s="85" t="str" cm="1">
        <f t="array" ref="C869">IFERROR(INDEX('03.Muestra'!$F$8:$F$42,SMALL(IF("Página Web"='03.Muestra'!$D$8:$D$42,ROW('03.Muestra'!$F$8:$F$42)-MIN(ROW('03.Muestra'!$D$8:$D$42))+1,""),ROW()-854)),"")</f>
        <v>https://www.comunidad.madrid/es/tacp/otros-organos-competentes</v>
      </c>
      <c r="D869" s="99" t="s">
        <v>106</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Contacto</v>
      </c>
      <c r="C870" s="85" t="str" cm="1">
        <f t="array" ref="C870">IFERROR(INDEX('03.Muestra'!$F$8:$F$42,SMALL(IF("Página Web"='03.Muestra'!$D$8:$D$42,ROW('03.Muestra'!$F$8:$F$42)-MIN(ROW('03.Muestra'!$D$8:$D$42))+1,""),ROW()-854)),"")</f>
        <v>https://www.comunidad.madrid/es/tacp/contact</v>
      </c>
      <c r="D870" s="99" t="s">
        <v>106</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Accesibilidad</v>
      </c>
      <c r="C871" s="85" t="str" cm="1">
        <f t="array" ref="C871">IFERROR(INDEX('03.Muestra'!$F$8:$F$42,SMALL(IF("Página Web"='03.Muestra'!$D$8:$D$42,ROW('03.Muestra'!$F$8:$F$42)-MIN(ROW('03.Muestra'!$D$8:$D$42))+1,""),ROW()-854)),"")</f>
        <v>https://www.comunidad.madrid/es/tacp/accesibilidad</v>
      </c>
      <c r="D871" s="99" t="s">
        <v>106</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ref="D872:D889" si="45">IF(AND(B872&lt;&gt;"",C872&lt;&gt;""),"N/T","")</f>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101</v>
      </c>
      <c r="B892" s="23" t="s">
        <v>93</v>
      </c>
      <c r="C892" s="24" t="s">
        <v>167</v>
      </c>
      <c r="D892" s="25" t="s">
        <v>103</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https://www.comunidad.madrid/tacp/</v>
      </c>
      <c r="D893" s="99" t="s">
        <v>106</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Carta del presidente</v>
      </c>
      <c r="C894" s="85" t="str" cm="1">
        <f t="array" ref="C894">IFERROR(INDEX('03.Muestra'!$F$8:$F$42,SMALL(IF("Página Web"='03.Muestra'!$D$8:$D$42,ROW('03.Muestra'!$F$8:$F$42)-MIN(ROW('03.Muestra'!$D$8:$D$42))+1,""),ROW()-892)),"")</f>
        <v>https://www.comunidad.madrid/tacp/carta-del-presidente</v>
      </c>
      <c r="D894" s="99" t="s">
        <v>106</v>
      </c>
      <c r="E894" s="79" t="str">
        <f t="shared" si="46"/>
        <v/>
      </c>
      <c r="F894" s="91">
        <f ca="1">COUNTIF($D893:INDIRECT("$D" &amp;  SUM(ROW()-1,'03.Muestra'!$D$45)-1),F893)</f>
        <v>0</v>
      </c>
      <c r="G894" s="91">
        <f ca="1">COUNTIF($D893:INDIRECT("$D" &amp;  SUM(ROW()-1,'03.Muestra'!$D$45)-1),G893)</f>
        <v>0</v>
      </c>
      <c r="H894" s="91">
        <f ca="1">COUNTIF($D893:INDIRECT("$D" &amp;  SUM(ROW()-1,'03.Muestra'!$D$45)-1),H893)</f>
        <v>17</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Organización</v>
      </c>
      <c r="C895" s="85" t="str" cm="1">
        <f t="array" ref="C895">IFERROR(INDEX('03.Muestra'!$F$8:$F$42,SMALL(IF("Página Web"='03.Muestra'!$D$8:$D$42,ROW('03.Muestra'!$F$8:$F$42)-MIN(ROW('03.Muestra'!$D$8:$D$42))+1,""),ROW()-892)),"")</f>
        <v>https://www.comunidad.madrid/tacp/el-tribunal/organización</v>
      </c>
      <c r="D895" s="99" t="s">
        <v>106</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Acuerdos</v>
      </c>
      <c r="C896" s="85" t="str" cm="1">
        <f t="array" ref="C896">IFERROR(INDEX('03.Muestra'!$F$8:$F$42,SMALL(IF("Página Web"='03.Muestra'!$D$8:$D$42,ROW('03.Muestra'!$F$8:$F$42)-MIN(ROW('03.Muestra'!$D$8:$D$42))+1,""),ROW()-892)),"")</f>
        <v>https://www.comunidad.madrid/tacp/el-tribunal/acuerdos-del-tacp</v>
      </c>
      <c r="D896" s="99" t="s">
        <v>106</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Presentacion</v>
      </c>
      <c r="C897" s="85" t="str" cm="1">
        <f t="array" ref="C897">IFERROR(INDEX('03.Muestra'!$F$8:$F$42,SMALL(IF("Página Web"='03.Muestra'!$D$8:$D$42,ROW('03.Muestra'!$F$8:$F$42)-MIN(ROW('03.Muestra'!$D$8:$D$42))+1,""),ROW()-892)),"")</f>
        <v>https://www.comunidad.madrid/tacp/el-tribunal/presentacion-electronica-e-impresos-normalizados</v>
      </c>
      <c r="D897" s="99" t="s">
        <v>106</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Guia</v>
      </c>
      <c r="C898" s="85" t="str" cm="1">
        <f t="array" ref="C898">IFERROR(INDEX('03.Muestra'!$F$8:$F$42,SMALL(IF("Página Web"='03.Muestra'!$D$8:$D$42,ROW('03.Muestra'!$F$8:$F$42)-MIN(ROW('03.Muestra'!$D$8:$D$42))+1,""),ROW()-892)),"")</f>
        <v>https://www.comunidad.madrid/tacp/el-tribunal/guia-informativa-sobre-la-regulacion-del-tribunal-de-contratacion-publica-y-los</v>
      </c>
      <c r="D898" s="99" t="s">
        <v>106</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Preguntas</v>
      </c>
      <c r="C899" s="85" t="str" cm="1">
        <f t="array" ref="C899">IFERROR(INDEX('03.Muestra'!$F$8:$F$42,SMALL(IF("Página Web"='03.Muestra'!$D$8:$D$42,ROW('03.Muestra'!$F$8:$F$42)-MIN(ROW('03.Muestra'!$D$8:$D$42))+1,""),ROW()-892)),"")</f>
        <v>https://www.comunidad.madrid/tacp/faq-page</v>
      </c>
      <c r="D899" s="99" t="s">
        <v>106</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Histórico</v>
      </c>
      <c r="C900" s="85" t="str" cm="1">
        <f t="array" ref="C900">IFERROR(INDEX('03.Muestra'!$F$8:$F$42,SMALL(IF("Página Web"='03.Muestra'!$D$8:$D$42,ROW('03.Muestra'!$F$8:$F$42)-MIN(ROW('03.Muestra'!$D$8:$D$42))+1,""),ROW()-892)),"")</f>
        <v>https://www.comunidad.madrid/tacp/el-tribunal/historico-resoluciones-de-las-reclamaciones-de-acceso-informacion-publica</v>
      </c>
      <c r="D900" s="99" t="s">
        <v>106</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Estudios</v>
      </c>
      <c r="C901" s="85" t="str" cm="1">
        <f t="array" ref="C901">IFERROR(INDEX('03.Muestra'!$F$8:$F$42,SMALL(IF("Página Web"='03.Muestra'!$D$8:$D$42,ROW('03.Muestra'!$F$8:$F$42)-MIN(ROW('03.Muestra'!$D$8:$D$42))+1,""),ROW()-892)),"")</f>
        <v>https://www.comunidad.madrid/tacp/estudios</v>
      </c>
      <c r="D901" s="99" t="s">
        <v>106</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Memorias</v>
      </c>
      <c r="C902" s="85" t="str" cm="1">
        <f t="array" ref="C902">IFERROR(INDEX('03.Muestra'!$F$8:$F$42,SMALL(IF("Página Web"='03.Muestra'!$D$8:$D$42,ROW('03.Muestra'!$F$8:$F$42)-MIN(ROW('03.Muestra'!$D$8:$D$42))+1,""),ROW()-892)),"")</f>
        <v>https://www.comunidad.madrid/tacp/memorias</v>
      </c>
      <c r="D902" s="99" t="s">
        <v>106</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Busqueda Resol</v>
      </c>
      <c r="C903" s="85" t="str" cm="1">
        <f t="array" ref="C903">IFERROR(INDEX('03.Muestra'!$F$8:$F$42,SMALL(IF("Página Web"='03.Muestra'!$D$8:$D$42,ROW('03.Muestra'!$F$8:$F$42)-MIN(ROW('03.Muestra'!$D$8:$D$42))+1,""),ROW()-892)),"")</f>
        <v>https://www.comunidad.madrid/tacp/busquedaresoluciones</v>
      </c>
      <c r="D903" s="99" t="s">
        <v>106</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Novedades</v>
      </c>
      <c r="C904" s="85" t="str" cm="1">
        <f t="array" ref="C904">IFERROR(INDEX('03.Muestra'!$F$8:$F$42,SMALL(IF("Página Web"='03.Muestra'!$D$8:$D$42,ROW('03.Muestra'!$F$8:$F$42)-MIN(ROW('03.Muestra'!$D$8:$D$42))+1,""),ROW()-892)),"")</f>
        <v>https://www.comunidad.madrid/tacp/noticias</v>
      </c>
      <c r="D904" s="99" t="s">
        <v>106</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Recursos especiales</v>
      </c>
      <c r="C905" s="85" t="str" cm="1">
        <f t="array" ref="C905">IFERROR(INDEX('03.Muestra'!$F$8:$F$42,SMALL(IF("Página Web"='03.Muestra'!$D$8:$D$42,ROW('03.Muestra'!$F$8:$F$42)-MIN(ROW('03.Muestra'!$D$8:$D$42))+1,""),ROW()-892)),"")</f>
        <v>https://www.comunidad.madrid/tacp/novedades/publicacion-recursos-especiales-en-perfil-contratante</v>
      </c>
      <c r="D905" s="99" t="s">
        <v>106</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Normativa</v>
      </c>
      <c r="C906" s="85" t="str" cm="1">
        <f t="array" ref="C906">IFERROR(INDEX('03.Muestra'!$F$8:$F$42,SMALL(IF("Página Web"='03.Muestra'!$D$8:$D$42,ROW('03.Muestra'!$F$8:$F$42)-MIN(ROW('03.Muestra'!$D$8:$D$42))+1,""),ROW()-892)),"")</f>
        <v>https://www.comunidad.madrid/es/tacp/normativa</v>
      </c>
      <c r="D906" s="99" t="s">
        <v>106</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Organos Competentes</v>
      </c>
      <c r="C907" s="85" t="str" cm="1">
        <f t="array" ref="C907">IFERROR(INDEX('03.Muestra'!$F$8:$F$42,SMALL(IF("Página Web"='03.Muestra'!$D$8:$D$42,ROW('03.Muestra'!$F$8:$F$42)-MIN(ROW('03.Muestra'!$D$8:$D$42))+1,""),ROW()-892)),"")</f>
        <v>https://www.comunidad.madrid/es/tacp/otros-organos-competentes</v>
      </c>
      <c r="D907" s="99" t="s">
        <v>106</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Contacto</v>
      </c>
      <c r="C908" s="85" t="str" cm="1">
        <f t="array" ref="C908">IFERROR(INDEX('03.Muestra'!$F$8:$F$42,SMALL(IF("Página Web"='03.Muestra'!$D$8:$D$42,ROW('03.Muestra'!$F$8:$F$42)-MIN(ROW('03.Muestra'!$D$8:$D$42))+1,""),ROW()-892)),"")</f>
        <v>https://www.comunidad.madrid/es/tacp/contact</v>
      </c>
      <c r="D908" s="99" t="s">
        <v>106</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Accesibilidad</v>
      </c>
      <c r="C909" s="85" t="str" cm="1">
        <f t="array" ref="C909">IFERROR(INDEX('03.Muestra'!$F$8:$F$42,SMALL(IF("Página Web"='03.Muestra'!$D$8:$D$42,ROW('03.Muestra'!$F$8:$F$42)-MIN(ROW('03.Muestra'!$D$8:$D$42))+1,""),ROW()-892)),"")</f>
        <v>https://www.comunidad.madrid/es/tacp/accesibilidad</v>
      </c>
      <c r="D909" s="99" t="s">
        <v>106</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ref="D910:D927" si="47">IF(AND(B910&lt;&gt;"",C910&lt;&gt;""),"N/T","")</f>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101</v>
      </c>
      <c r="B930" s="23" t="s">
        <v>93</v>
      </c>
      <c r="C930" s="24" t="s">
        <v>168</v>
      </c>
      <c r="D930" s="25" t="s">
        <v>103</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https://www.comunidad.madrid/tacp/</v>
      </c>
      <c r="D931" s="99" t="s">
        <v>106</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Carta del presidente</v>
      </c>
      <c r="C932" s="85" t="str" cm="1">
        <f t="array" ref="C932">IFERROR(INDEX('03.Muestra'!$F$8:$F$42,SMALL(IF("Página Web"='03.Muestra'!$D$8:$D$42,ROW('03.Muestra'!$F$8:$F$42)-MIN(ROW('03.Muestra'!$D$8:$D$42))+1,""),ROW()-930)),"")</f>
        <v>https://www.comunidad.madrid/tacp/carta-del-presidente</v>
      </c>
      <c r="D932" s="99" t="s">
        <v>106</v>
      </c>
      <c r="E932" s="79" t="str">
        <f t="shared" si="48"/>
        <v/>
      </c>
      <c r="F932" s="91">
        <f ca="1">COUNTIF($D931:INDIRECT("$D" &amp;  SUM(ROW()-1,'03.Muestra'!$D$45)-1),F931)</f>
        <v>0</v>
      </c>
      <c r="G932" s="91">
        <f ca="1">COUNTIF($D931:INDIRECT("$D" &amp;  SUM(ROW()-1,'03.Muestra'!$D$45)-1),G931)</f>
        <v>0</v>
      </c>
      <c r="H932" s="91">
        <f ca="1">COUNTIF($D931:INDIRECT("$D" &amp;  SUM(ROW()-1,'03.Muestra'!$D$45)-1),H931)</f>
        <v>17</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Organización</v>
      </c>
      <c r="C933" s="85" t="str" cm="1">
        <f t="array" ref="C933">IFERROR(INDEX('03.Muestra'!$F$8:$F$42,SMALL(IF("Página Web"='03.Muestra'!$D$8:$D$42,ROW('03.Muestra'!$F$8:$F$42)-MIN(ROW('03.Muestra'!$D$8:$D$42))+1,""),ROW()-930)),"")</f>
        <v>https://www.comunidad.madrid/tacp/el-tribunal/organización</v>
      </c>
      <c r="D933" s="99" t="s">
        <v>106</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Acuerdos</v>
      </c>
      <c r="C934" s="85" t="str" cm="1">
        <f t="array" ref="C934">IFERROR(INDEX('03.Muestra'!$F$8:$F$42,SMALL(IF("Página Web"='03.Muestra'!$D$8:$D$42,ROW('03.Muestra'!$F$8:$F$42)-MIN(ROW('03.Muestra'!$D$8:$D$42))+1,""),ROW()-930)),"")</f>
        <v>https://www.comunidad.madrid/tacp/el-tribunal/acuerdos-del-tacp</v>
      </c>
      <c r="D934" s="99" t="s">
        <v>106</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Presentacion</v>
      </c>
      <c r="C935" s="85" t="str" cm="1">
        <f t="array" ref="C935">IFERROR(INDEX('03.Muestra'!$F$8:$F$42,SMALL(IF("Página Web"='03.Muestra'!$D$8:$D$42,ROW('03.Muestra'!$F$8:$F$42)-MIN(ROW('03.Muestra'!$D$8:$D$42))+1,""),ROW()-930)),"")</f>
        <v>https://www.comunidad.madrid/tacp/el-tribunal/presentacion-electronica-e-impresos-normalizados</v>
      </c>
      <c r="D935" s="99" t="s">
        <v>106</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Guia</v>
      </c>
      <c r="C936" s="85" t="str" cm="1">
        <f t="array" ref="C936">IFERROR(INDEX('03.Muestra'!$F$8:$F$42,SMALL(IF("Página Web"='03.Muestra'!$D$8:$D$42,ROW('03.Muestra'!$F$8:$F$42)-MIN(ROW('03.Muestra'!$D$8:$D$42))+1,""),ROW()-930)),"")</f>
        <v>https://www.comunidad.madrid/tacp/el-tribunal/guia-informativa-sobre-la-regulacion-del-tribunal-de-contratacion-publica-y-los</v>
      </c>
      <c r="D936" s="99" t="s">
        <v>106</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Preguntas</v>
      </c>
      <c r="C937" s="85" t="str" cm="1">
        <f t="array" ref="C937">IFERROR(INDEX('03.Muestra'!$F$8:$F$42,SMALL(IF("Página Web"='03.Muestra'!$D$8:$D$42,ROW('03.Muestra'!$F$8:$F$42)-MIN(ROW('03.Muestra'!$D$8:$D$42))+1,""),ROW()-930)),"")</f>
        <v>https://www.comunidad.madrid/tacp/faq-page</v>
      </c>
      <c r="D937" s="99" t="s">
        <v>106</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Histórico</v>
      </c>
      <c r="C938" s="85" t="str" cm="1">
        <f t="array" ref="C938">IFERROR(INDEX('03.Muestra'!$F$8:$F$42,SMALL(IF("Página Web"='03.Muestra'!$D$8:$D$42,ROW('03.Muestra'!$F$8:$F$42)-MIN(ROW('03.Muestra'!$D$8:$D$42))+1,""),ROW()-930)),"")</f>
        <v>https://www.comunidad.madrid/tacp/el-tribunal/historico-resoluciones-de-las-reclamaciones-de-acceso-informacion-publica</v>
      </c>
      <c r="D938" s="99" t="s">
        <v>106</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Estudios</v>
      </c>
      <c r="C939" s="85" t="str" cm="1">
        <f t="array" ref="C939">IFERROR(INDEX('03.Muestra'!$F$8:$F$42,SMALL(IF("Página Web"='03.Muestra'!$D$8:$D$42,ROW('03.Muestra'!$F$8:$F$42)-MIN(ROW('03.Muestra'!$D$8:$D$42))+1,""),ROW()-930)),"")</f>
        <v>https://www.comunidad.madrid/tacp/estudios</v>
      </c>
      <c r="D939" s="99" t="s">
        <v>106</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Memorias</v>
      </c>
      <c r="C940" s="85" t="str" cm="1">
        <f t="array" ref="C940">IFERROR(INDEX('03.Muestra'!$F$8:$F$42,SMALL(IF("Página Web"='03.Muestra'!$D$8:$D$42,ROW('03.Muestra'!$F$8:$F$42)-MIN(ROW('03.Muestra'!$D$8:$D$42))+1,""),ROW()-930)),"")</f>
        <v>https://www.comunidad.madrid/tacp/memorias</v>
      </c>
      <c r="D940" s="99" t="s">
        <v>106</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Busqueda Resol</v>
      </c>
      <c r="C941" s="85" t="str" cm="1">
        <f t="array" ref="C941">IFERROR(INDEX('03.Muestra'!$F$8:$F$42,SMALL(IF("Página Web"='03.Muestra'!$D$8:$D$42,ROW('03.Muestra'!$F$8:$F$42)-MIN(ROW('03.Muestra'!$D$8:$D$42))+1,""),ROW()-930)),"")</f>
        <v>https://www.comunidad.madrid/tacp/busquedaresoluciones</v>
      </c>
      <c r="D941" s="99" t="s">
        <v>106</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Novedades</v>
      </c>
      <c r="C942" s="85" t="str" cm="1">
        <f t="array" ref="C942">IFERROR(INDEX('03.Muestra'!$F$8:$F$42,SMALL(IF("Página Web"='03.Muestra'!$D$8:$D$42,ROW('03.Muestra'!$F$8:$F$42)-MIN(ROW('03.Muestra'!$D$8:$D$42))+1,""),ROW()-930)),"")</f>
        <v>https://www.comunidad.madrid/tacp/noticias</v>
      </c>
      <c r="D942" s="99" t="s">
        <v>106</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Recursos especiales</v>
      </c>
      <c r="C943" s="85" t="str" cm="1">
        <f t="array" ref="C943">IFERROR(INDEX('03.Muestra'!$F$8:$F$42,SMALL(IF("Página Web"='03.Muestra'!$D$8:$D$42,ROW('03.Muestra'!$F$8:$F$42)-MIN(ROW('03.Muestra'!$D$8:$D$42))+1,""),ROW()-930)),"")</f>
        <v>https://www.comunidad.madrid/tacp/novedades/publicacion-recursos-especiales-en-perfil-contratante</v>
      </c>
      <c r="D943" s="99" t="s">
        <v>106</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Normativa</v>
      </c>
      <c r="C944" s="85" t="str" cm="1">
        <f t="array" ref="C944">IFERROR(INDEX('03.Muestra'!$F$8:$F$42,SMALL(IF("Página Web"='03.Muestra'!$D$8:$D$42,ROW('03.Muestra'!$F$8:$F$42)-MIN(ROW('03.Muestra'!$D$8:$D$42))+1,""),ROW()-930)),"")</f>
        <v>https://www.comunidad.madrid/es/tacp/normativa</v>
      </c>
      <c r="D944" s="99" t="s">
        <v>106</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Organos Competentes</v>
      </c>
      <c r="C945" s="85" t="str" cm="1">
        <f t="array" ref="C945">IFERROR(INDEX('03.Muestra'!$F$8:$F$42,SMALL(IF("Página Web"='03.Muestra'!$D$8:$D$42,ROW('03.Muestra'!$F$8:$F$42)-MIN(ROW('03.Muestra'!$D$8:$D$42))+1,""),ROW()-930)),"")</f>
        <v>https://www.comunidad.madrid/es/tacp/otros-organos-competentes</v>
      </c>
      <c r="D945" s="99" t="s">
        <v>106</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Contacto</v>
      </c>
      <c r="C946" s="85" t="str" cm="1">
        <f t="array" ref="C946">IFERROR(INDEX('03.Muestra'!$F$8:$F$42,SMALL(IF("Página Web"='03.Muestra'!$D$8:$D$42,ROW('03.Muestra'!$F$8:$F$42)-MIN(ROW('03.Muestra'!$D$8:$D$42))+1,""),ROW()-930)),"")</f>
        <v>https://www.comunidad.madrid/es/tacp/contact</v>
      </c>
      <c r="D946" s="99" t="s">
        <v>106</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Accesibilidad</v>
      </c>
      <c r="C947" s="85" t="str" cm="1">
        <f t="array" ref="C947">IFERROR(INDEX('03.Muestra'!$F$8:$F$42,SMALL(IF("Página Web"='03.Muestra'!$D$8:$D$42,ROW('03.Muestra'!$F$8:$F$42)-MIN(ROW('03.Muestra'!$D$8:$D$42))+1,""),ROW()-930)),"")</f>
        <v>https://www.comunidad.madrid/es/tacp/accesibilidad</v>
      </c>
      <c r="D947" s="99" t="s">
        <v>106</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ref="D948:D965" si="49">IF(AND(B948&lt;&gt;"",C948&lt;&gt;""),"N/T","")</f>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101</v>
      </c>
      <c r="B968" s="23" t="s">
        <v>93</v>
      </c>
      <c r="C968" s="24" t="s">
        <v>169</v>
      </c>
      <c r="D968" s="25" t="s">
        <v>103</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https://www.comunidad.madrid/tacp/</v>
      </c>
      <c r="D969" s="99" t="s">
        <v>94</v>
      </c>
      <c r="E969" s="79" t="str">
        <f t="shared" ref="E969:E1003"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Carta del presidente</v>
      </c>
      <c r="C970" s="85" t="str" cm="1">
        <f t="array" ref="C970">IFERROR(INDEX('03.Muestra'!$F$8:$F$42,SMALL(IF("Página Web"='03.Muestra'!$D$8:$D$42,ROW('03.Muestra'!$F$8:$F$42)-MIN(ROW('03.Muestra'!$D$8:$D$42))+1,""),ROW()-968)),"")</f>
        <v>https://www.comunidad.madrid/tacp/carta-del-presidente</v>
      </c>
      <c r="D970" s="99" t="s">
        <v>94</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17</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Organización</v>
      </c>
      <c r="C971" s="85" t="str" cm="1">
        <f t="array" ref="C971">IFERROR(INDEX('03.Muestra'!$F$8:$F$42,SMALL(IF("Página Web"='03.Muestra'!$D$8:$D$42,ROW('03.Muestra'!$F$8:$F$42)-MIN(ROW('03.Muestra'!$D$8:$D$42))+1,""),ROW()-968)),"")</f>
        <v>https://www.comunidad.madrid/tacp/el-tribunal/organización</v>
      </c>
      <c r="D971" s="99" t="s">
        <v>94</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Acuerdos</v>
      </c>
      <c r="C972" s="85" t="str" cm="1">
        <f t="array" ref="C972">IFERROR(INDEX('03.Muestra'!$F$8:$F$42,SMALL(IF("Página Web"='03.Muestra'!$D$8:$D$42,ROW('03.Muestra'!$F$8:$F$42)-MIN(ROW('03.Muestra'!$D$8:$D$42))+1,""),ROW()-968)),"")</f>
        <v>https://www.comunidad.madrid/tacp/el-tribunal/acuerdos-del-tacp</v>
      </c>
      <c r="D972" s="99" t="s">
        <v>94</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Presentacion</v>
      </c>
      <c r="C973" s="85" t="str" cm="1">
        <f t="array" ref="C973">IFERROR(INDEX('03.Muestra'!$F$8:$F$42,SMALL(IF("Página Web"='03.Muestra'!$D$8:$D$42,ROW('03.Muestra'!$F$8:$F$42)-MIN(ROW('03.Muestra'!$D$8:$D$42))+1,""),ROW()-968)),"")</f>
        <v>https://www.comunidad.madrid/tacp/el-tribunal/presentacion-electronica-e-impresos-normalizados</v>
      </c>
      <c r="D973" s="99" t="s">
        <v>94</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Guia</v>
      </c>
      <c r="C974" s="85" t="str" cm="1">
        <f t="array" ref="C974">IFERROR(INDEX('03.Muestra'!$F$8:$F$42,SMALL(IF("Página Web"='03.Muestra'!$D$8:$D$42,ROW('03.Muestra'!$F$8:$F$42)-MIN(ROW('03.Muestra'!$D$8:$D$42))+1,""),ROW()-968)),"")</f>
        <v>https://www.comunidad.madrid/tacp/el-tribunal/guia-informativa-sobre-la-regulacion-del-tribunal-de-contratacion-publica-y-los</v>
      </c>
      <c r="D974" s="99" t="s">
        <v>94</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Preguntas</v>
      </c>
      <c r="C975" s="85" t="str" cm="1">
        <f t="array" ref="C975">IFERROR(INDEX('03.Muestra'!$F$8:$F$42,SMALL(IF("Página Web"='03.Muestra'!$D$8:$D$42,ROW('03.Muestra'!$F$8:$F$42)-MIN(ROW('03.Muestra'!$D$8:$D$42))+1,""),ROW()-968)),"")</f>
        <v>https://www.comunidad.madrid/tacp/faq-page</v>
      </c>
      <c r="D975" s="99" t="s">
        <v>94</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Histórico</v>
      </c>
      <c r="C976" s="85" t="str" cm="1">
        <f t="array" ref="C976">IFERROR(INDEX('03.Muestra'!$F$8:$F$42,SMALL(IF("Página Web"='03.Muestra'!$D$8:$D$42,ROW('03.Muestra'!$F$8:$F$42)-MIN(ROW('03.Muestra'!$D$8:$D$42))+1,""),ROW()-968)),"")</f>
        <v>https://www.comunidad.madrid/tacp/el-tribunal/historico-resoluciones-de-las-reclamaciones-de-acceso-informacion-publica</v>
      </c>
      <c r="D976" s="99" t="s">
        <v>94</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Estudios</v>
      </c>
      <c r="C977" s="85" t="str" cm="1">
        <f t="array" ref="C977">IFERROR(INDEX('03.Muestra'!$F$8:$F$42,SMALL(IF("Página Web"='03.Muestra'!$D$8:$D$42,ROW('03.Muestra'!$F$8:$F$42)-MIN(ROW('03.Muestra'!$D$8:$D$42))+1,""),ROW()-968)),"")</f>
        <v>https://www.comunidad.madrid/tacp/estudios</v>
      </c>
      <c r="D977" s="99" t="s">
        <v>94</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Memorias</v>
      </c>
      <c r="C978" s="85" t="str" cm="1">
        <f t="array" ref="C978">IFERROR(INDEX('03.Muestra'!$F$8:$F$42,SMALL(IF("Página Web"='03.Muestra'!$D$8:$D$42,ROW('03.Muestra'!$F$8:$F$42)-MIN(ROW('03.Muestra'!$D$8:$D$42))+1,""),ROW()-968)),"")</f>
        <v>https://www.comunidad.madrid/tacp/memorias</v>
      </c>
      <c r="D978" s="99" t="s">
        <v>94</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Busqueda Resol</v>
      </c>
      <c r="C979" s="85" t="str" cm="1">
        <f t="array" ref="C979">IFERROR(INDEX('03.Muestra'!$F$8:$F$42,SMALL(IF("Página Web"='03.Muestra'!$D$8:$D$42,ROW('03.Muestra'!$F$8:$F$42)-MIN(ROW('03.Muestra'!$D$8:$D$42))+1,""),ROW()-968)),"")</f>
        <v>https://www.comunidad.madrid/tacp/busquedaresoluciones</v>
      </c>
      <c r="D979" s="99" t="s">
        <v>94</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Novedades</v>
      </c>
      <c r="C980" s="85" t="str" cm="1">
        <f t="array" ref="C980">IFERROR(INDEX('03.Muestra'!$F$8:$F$42,SMALL(IF("Página Web"='03.Muestra'!$D$8:$D$42,ROW('03.Muestra'!$F$8:$F$42)-MIN(ROW('03.Muestra'!$D$8:$D$42))+1,""),ROW()-968)),"")</f>
        <v>https://www.comunidad.madrid/tacp/noticias</v>
      </c>
      <c r="D980" s="99" t="s">
        <v>94</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Recursos especiales</v>
      </c>
      <c r="C981" s="85" t="str" cm="1">
        <f t="array" ref="C981">IFERROR(INDEX('03.Muestra'!$F$8:$F$42,SMALL(IF("Página Web"='03.Muestra'!$D$8:$D$42,ROW('03.Muestra'!$F$8:$F$42)-MIN(ROW('03.Muestra'!$D$8:$D$42))+1,""),ROW()-968)),"")</f>
        <v>https://www.comunidad.madrid/tacp/novedades/publicacion-recursos-especiales-en-perfil-contratante</v>
      </c>
      <c r="D981" s="99" t="s">
        <v>94</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Normativa</v>
      </c>
      <c r="C982" s="85" t="str" cm="1">
        <f t="array" ref="C982">IFERROR(INDEX('03.Muestra'!$F$8:$F$42,SMALL(IF("Página Web"='03.Muestra'!$D$8:$D$42,ROW('03.Muestra'!$F$8:$F$42)-MIN(ROW('03.Muestra'!$D$8:$D$42))+1,""),ROW()-968)),"")</f>
        <v>https://www.comunidad.madrid/es/tacp/normativa</v>
      </c>
      <c r="D982" s="99" t="s">
        <v>94</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Organos Competentes</v>
      </c>
      <c r="C983" s="85" t="str" cm="1">
        <f t="array" ref="C983">IFERROR(INDEX('03.Muestra'!$F$8:$F$42,SMALL(IF("Página Web"='03.Muestra'!$D$8:$D$42,ROW('03.Muestra'!$F$8:$F$42)-MIN(ROW('03.Muestra'!$D$8:$D$42))+1,""),ROW()-968)),"")</f>
        <v>https://www.comunidad.madrid/es/tacp/otros-organos-competentes</v>
      </c>
      <c r="D983" s="99" t="s">
        <v>94</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Contacto</v>
      </c>
      <c r="C984" s="85" t="str" cm="1">
        <f t="array" ref="C984">IFERROR(INDEX('03.Muestra'!$F$8:$F$42,SMALL(IF("Página Web"='03.Muestra'!$D$8:$D$42,ROW('03.Muestra'!$F$8:$F$42)-MIN(ROW('03.Muestra'!$D$8:$D$42))+1,""),ROW()-968)),"")</f>
        <v>https://www.comunidad.madrid/es/tacp/contact</v>
      </c>
      <c r="D984" s="99" t="s">
        <v>94</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Accesibilidad</v>
      </c>
      <c r="C985" s="85" t="str" cm="1">
        <f t="array" ref="C985">IFERROR(INDEX('03.Muestra'!$F$8:$F$42,SMALL(IF("Página Web"='03.Muestra'!$D$8:$D$42,ROW('03.Muestra'!$F$8:$F$42)-MIN(ROW('03.Muestra'!$D$8:$D$42))+1,""),ROW()-968)),"")</f>
        <v>https://www.comunidad.madrid/es/tacp/accesibilidad</v>
      </c>
      <c r="D985" s="99" t="s">
        <v>94</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ref="D986:D1003" si="51">IF(AND(B986&lt;&gt;"",C986&lt;&gt;""),"N/T","")</f>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101</v>
      </c>
      <c r="B1006" s="23" t="s">
        <v>93</v>
      </c>
      <c r="C1006" s="24" t="s">
        <v>170</v>
      </c>
      <c r="D1006" s="25" t="s">
        <v>103</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https://www.comunidad.madrid/tacp/</v>
      </c>
      <c r="D1007" s="99" t="s">
        <v>94</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Carta del presidente</v>
      </c>
      <c r="C1008" s="85" t="str" cm="1">
        <f t="array" ref="C1008">IFERROR(INDEX('03.Muestra'!$F$8:$F$42,SMALL(IF("Página Web"='03.Muestra'!$D$8:$D$42,ROW('03.Muestra'!$F$8:$F$42)-MIN(ROW('03.Muestra'!$D$8:$D$42))+1,""),ROW()-1006)),"")</f>
        <v>https://www.comunidad.madrid/tacp/carta-del-presidente</v>
      </c>
      <c r="D1008" s="99" t="s">
        <v>94</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17</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Organización</v>
      </c>
      <c r="C1009" s="85" t="str" cm="1">
        <f t="array" ref="C1009">IFERROR(INDEX('03.Muestra'!$F$8:$F$42,SMALL(IF("Página Web"='03.Muestra'!$D$8:$D$42,ROW('03.Muestra'!$F$8:$F$42)-MIN(ROW('03.Muestra'!$D$8:$D$42))+1,""),ROW()-1006)),"")</f>
        <v>https://www.comunidad.madrid/tacp/el-tribunal/organización</v>
      </c>
      <c r="D1009" s="99" t="s">
        <v>94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Acuerdos</v>
      </c>
      <c r="C1010" s="85" t="str" cm="1">
        <f t="array" ref="C1010">IFERROR(INDEX('03.Muestra'!$F$8:$F$42,SMALL(IF("Página Web"='03.Muestra'!$D$8:$D$42,ROW('03.Muestra'!$F$8:$F$42)-MIN(ROW('03.Muestra'!$D$8:$D$42))+1,""),ROW()-1006)),"")</f>
        <v>https://www.comunidad.madrid/tacp/el-tribunal/acuerdos-del-tacp</v>
      </c>
      <c r="D1010" s="99" t="s">
        <v>94</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Presentacion</v>
      </c>
      <c r="C1011" s="85" t="str" cm="1">
        <f t="array" ref="C1011">IFERROR(INDEX('03.Muestra'!$F$8:$F$42,SMALL(IF("Página Web"='03.Muestra'!$D$8:$D$42,ROW('03.Muestra'!$F$8:$F$42)-MIN(ROW('03.Muestra'!$D$8:$D$42))+1,""),ROW()-1006)),"")</f>
        <v>https://www.comunidad.madrid/tacp/el-tribunal/presentacion-electronica-e-impresos-normalizados</v>
      </c>
      <c r="D1011" s="99" t="s">
        <v>94</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Guia</v>
      </c>
      <c r="C1012" s="85" t="str" cm="1">
        <f t="array" ref="C1012">IFERROR(INDEX('03.Muestra'!$F$8:$F$42,SMALL(IF("Página Web"='03.Muestra'!$D$8:$D$42,ROW('03.Muestra'!$F$8:$F$42)-MIN(ROW('03.Muestra'!$D$8:$D$42))+1,""),ROW()-1006)),"")</f>
        <v>https://www.comunidad.madrid/tacp/el-tribunal/guia-informativa-sobre-la-regulacion-del-tribunal-de-contratacion-publica-y-los</v>
      </c>
      <c r="D1012" s="99" t="s">
        <v>94</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Preguntas</v>
      </c>
      <c r="C1013" s="85" t="str" cm="1">
        <f t="array" ref="C1013">IFERROR(INDEX('03.Muestra'!$F$8:$F$42,SMALL(IF("Página Web"='03.Muestra'!$D$8:$D$42,ROW('03.Muestra'!$F$8:$F$42)-MIN(ROW('03.Muestra'!$D$8:$D$42))+1,""),ROW()-1006)),"")</f>
        <v>https://www.comunidad.madrid/tacp/faq-page</v>
      </c>
      <c r="D1013" s="99" t="s">
        <v>94</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Histórico</v>
      </c>
      <c r="C1014" s="85" t="str" cm="1">
        <f t="array" ref="C1014">IFERROR(INDEX('03.Muestra'!$F$8:$F$42,SMALL(IF("Página Web"='03.Muestra'!$D$8:$D$42,ROW('03.Muestra'!$F$8:$F$42)-MIN(ROW('03.Muestra'!$D$8:$D$42))+1,""),ROW()-1006)),"")</f>
        <v>https://www.comunidad.madrid/tacp/el-tribunal/historico-resoluciones-de-las-reclamaciones-de-acceso-informacion-publica</v>
      </c>
      <c r="D1014" s="99" t="s">
        <v>94</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Estudios</v>
      </c>
      <c r="C1015" s="85" t="str" cm="1">
        <f t="array" ref="C1015">IFERROR(INDEX('03.Muestra'!$F$8:$F$42,SMALL(IF("Página Web"='03.Muestra'!$D$8:$D$42,ROW('03.Muestra'!$F$8:$F$42)-MIN(ROW('03.Muestra'!$D$8:$D$42))+1,""),ROW()-1006)),"")</f>
        <v>https://www.comunidad.madrid/tacp/estudios</v>
      </c>
      <c r="D1015" s="99" t="s">
        <v>94</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Memorias</v>
      </c>
      <c r="C1016" s="85" t="str" cm="1">
        <f t="array" ref="C1016">IFERROR(INDEX('03.Muestra'!$F$8:$F$42,SMALL(IF("Página Web"='03.Muestra'!$D$8:$D$42,ROW('03.Muestra'!$F$8:$F$42)-MIN(ROW('03.Muestra'!$D$8:$D$42))+1,""),ROW()-1006)),"")</f>
        <v>https://www.comunidad.madrid/tacp/memorias</v>
      </c>
      <c r="D1016" s="99" t="s">
        <v>94</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Busqueda Resol</v>
      </c>
      <c r="C1017" s="85" t="str" cm="1">
        <f t="array" ref="C1017">IFERROR(INDEX('03.Muestra'!$F$8:$F$42,SMALL(IF("Página Web"='03.Muestra'!$D$8:$D$42,ROW('03.Muestra'!$F$8:$F$42)-MIN(ROW('03.Muestra'!$D$8:$D$42))+1,""),ROW()-1006)),"")</f>
        <v>https://www.comunidad.madrid/tacp/busquedaresoluciones</v>
      </c>
      <c r="D1017" s="99" t="s">
        <v>94</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Novedades</v>
      </c>
      <c r="C1018" s="85" t="str" cm="1">
        <f t="array" ref="C1018">IFERROR(INDEX('03.Muestra'!$F$8:$F$42,SMALL(IF("Página Web"='03.Muestra'!$D$8:$D$42,ROW('03.Muestra'!$F$8:$F$42)-MIN(ROW('03.Muestra'!$D$8:$D$42))+1,""),ROW()-1006)),"")</f>
        <v>https://www.comunidad.madrid/tacp/noticias</v>
      </c>
      <c r="D1018" s="99" t="s">
        <v>94</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Recursos especiales</v>
      </c>
      <c r="C1019" s="85" t="str" cm="1">
        <f t="array" ref="C1019">IFERROR(INDEX('03.Muestra'!$F$8:$F$42,SMALL(IF("Página Web"='03.Muestra'!$D$8:$D$42,ROW('03.Muestra'!$F$8:$F$42)-MIN(ROW('03.Muestra'!$D$8:$D$42))+1,""),ROW()-1006)),"")</f>
        <v>https://www.comunidad.madrid/tacp/novedades/publicacion-recursos-especiales-en-perfil-contratante</v>
      </c>
      <c r="D1019" s="99" t="s">
        <v>94</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Normativa</v>
      </c>
      <c r="C1020" s="85" t="str" cm="1">
        <f t="array" ref="C1020">IFERROR(INDEX('03.Muestra'!$F$8:$F$42,SMALL(IF("Página Web"='03.Muestra'!$D$8:$D$42,ROW('03.Muestra'!$F$8:$F$42)-MIN(ROW('03.Muestra'!$D$8:$D$42))+1,""),ROW()-1006)),"")</f>
        <v>https://www.comunidad.madrid/es/tacp/normativa</v>
      </c>
      <c r="D1020" s="99" t="s">
        <v>94</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Organos Competentes</v>
      </c>
      <c r="C1021" s="85" t="str" cm="1">
        <f t="array" ref="C1021">IFERROR(INDEX('03.Muestra'!$F$8:$F$42,SMALL(IF("Página Web"='03.Muestra'!$D$8:$D$42,ROW('03.Muestra'!$F$8:$F$42)-MIN(ROW('03.Muestra'!$D$8:$D$42))+1,""),ROW()-1006)),"")</f>
        <v>https://www.comunidad.madrid/es/tacp/otros-organos-competentes</v>
      </c>
      <c r="D1021" s="99" t="s">
        <v>94</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Contacto</v>
      </c>
      <c r="C1022" s="85" t="str" cm="1">
        <f t="array" ref="C1022">IFERROR(INDEX('03.Muestra'!$F$8:$F$42,SMALL(IF("Página Web"='03.Muestra'!$D$8:$D$42,ROW('03.Muestra'!$F$8:$F$42)-MIN(ROW('03.Muestra'!$D$8:$D$42))+1,""),ROW()-1006)),"")</f>
        <v>https://www.comunidad.madrid/es/tacp/contact</v>
      </c>
      <c r="D1022" s="99" t="s">
        <v>94</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Accesibilidad</v>
      </c>
      <c r="C1023" s="85" t="str" cm="1">
        <f t="array" ref="C1023">IFERROR(INDEX('03.Muestra'!$F$8:$F$42,SMALL(IF("Página Web"='03.Muestra'!$D$8:$D$42,ROW('03.Muestra'!$F$8:$F$42)-MIN(ROW('03.Muestra'!$D$8:$D$42))+1,""),ROW()-1006)),"")</f>
        <v>https://www.comunidad.madrid/es/tacp/accesibilidad</v>
      </c>
      <c r="D1023" s="99" t="s">
        <v>94</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ref="D1024:D1041" si="53">IF(AND(B1024&lt;&gt;"",C1024&lt;&gt;""),"N/T","")</f>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101</v>
      </c>
      <c r="B1044" s="23" t="s">
        <v>93</v>
      </c>
      <c r="C1044" s="24" t="s">
        <v>171</v>
      </c>
      <c r="D1044" s="25" t="s">
        <v>103</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https://www.comunidad.madrid/tacp/</v>
      </c>
      <c r="D1045" s="99" t="s">
        <v>94</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Carta del presidente</v>
      </c>
      <c r="C1046" s="85" t="str" cm="1">
        <f t="array" ref="C1046">IFERROR(INDEX('03.Muestra'!$F$8:$F$42,SMALL(IF("Página Web"='03.Muestra'!$D$8:$D$42,ROW('03.Muestra'!$F$8:$F$42)-MIN(ROW('03.Muestra'!$D$8:$D$42))+1,""),ROW()-1044)),"")</f>
        <v>https://www.comunidad.madrid/tacp/carta-del-presidente</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17</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Organización</v>
      </c>
      <c r="C1047" s="85" t="str" cm="1">
        <f t="array" ref="C1047">IFERROR(INDEX('03.Muestra'!$F$8:$F$42,SMALL(IF("Página Web"='03.Muestra'!$D$8:$D$42,ROW('03.Muestra'!$F$8:$F$42)-MIN(ROW('03.Muestra'!$D$8:$D$42))+1,""),ROW()-1044)),"")</f>
        <v>https://www.comunidad.madrid/tacp/el-tribunal/organización</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Acuerdos</v>
      </c>
      <c r="C1048" s="85" t="str" cm="1">
        <f t="array" ref="C1048">IFERROR(INDEX('03.Muestra'!$F$8:$F$42,SMALL(IF("Página Web"='03.Muestra'!$D$8:$D$42,ROW('03.Muestra'!$F$8:$F$42)-MIN(ROW('03.Muestra'!$D$8:$D$42))+1,""),ROW()-1044)),"")</f>
        <v>https://www.comunidad.madrid/tacp/el-tribunal/acuerdos-del-tacp</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Presentacion</v>
      </c>
      <c r="C1049" s="85" t="str" cm="1">
        <f t="array" ref="C1049">IFERROR(INDEX('03.Muestra'!$F$8:$F$42,SMALL(IF("Página Web"='03.Muestra'!$D$8:$D$42,ROW('03.Muestra'!$F$8:$F$42)-MIN(ROW('03.Muestra'!$D$8:$D$42))+1,""),ROW()-1044)),"")</f>
        <v>https://www.comunidad.madrid/tacp/el-tribunal/presentacion-electronica-e-impresos-normalizados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Guia</v>
      </c>
      <c r="C1050" s="85" t="str" cm="1">
        <f t="array" ref="C1050">IFERROR(INDEX('03.Muestra'!$F$8:$F$42,SMALL(IF("Página Web"='03.Muestra'!$D$8:$D$42,ROW('03.Muestra'!$F$8:$F$42)-MIN(ROW('03.Muestra'!$D$8:$D$42))+1,""),ROW()-1044)),"")</f>
        <v>https://www.comunidad.madrid/tacp/el-tribunal/guia-informativa-sobre-la-regulacion-del-tribunal-de-contratacion-publica-y-los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Preguntas</v>
      </c>
      <c r="C1051" s="85" t="str" cm="1">
        <f t="array" ref="C1051">IFERROR(INDEX('03.Muestra'!$F$8:$F$42,SMALL(IF("Página Web"='03.Muestra'!$D$8:$D$42,ROW('03.Muestra'!$F$8:$F$42)-MIN(ROW('03.Muestra'!$D$8:$D$42))+1,""),ROW()-1044)),"")</f>
        <v>https://www.comunidad.madrid/tacp/faq-page</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Histórico</v>
      </c>
      <c r="C1052" s="85" t="str" cm="1">
        <f t="array" ref="C1052">IFERROR(INDEX('03.Muestra'!$F$8:$F$42,SMALL(IF("Página Web"='03.Muestra'!$D$8:$D$42,ROW('03.Muestra'!$F$8:$F$42)-MIN(ROW('03.Muestra'!$D$8:$D$42))+1,""),ROW()-1044)),"")</f>
        <v>https://www.comunidad.madrid/tacp/el-tribunal/historico-resoluciones-de-las-reclamaciones-de-acceso-informacion-publica</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Estudios</v>
      </c>
      <c r="C1053" s="85" t="str" cm="1">
        <f t="array" ref="C1053">IFERROR(INDEX('03.Muestra'!$F$8:$F$42,SMALL(IF("Página Web"='03.Muestra'!$D$8:$D$42,ROW('03.Muestra'!$F$8:$F$42)-MIN(ROW('03.Muestra'!$D$8:$D$42))+1,""),ROW()-1044)),"")</f>
        <v>https://www.comunidad.madrid/tacp/estudios</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Memorias</v>
      </c>
      <c r="C1054" s="85" t="str" cm="1">
        <f t="array" ref="C1054">IFERROR(INDEX('03.Muestra'!$F$8:$F$42,SMALL(IF("Página Web"='03.Muestra'!$D$8:$D$42,ROW('03.Muestra'!$F$8:$F$42)-MIN(ROW('03.Muestra'!$D$8:$D$42))+1,""),ROW()-1044)),"")</f>
        <v>https://www.comunidad.madrid/tacp/memorias</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Busqueda Resol</v>
      </c>
      <c r="C1055" s="85" t="str" cm="1">
        <f t="array" ref="C1055">IFERROR(INDEX('03.Muestra'!$F$8:$F$42,SMALL(IF("Página Web"='03.Muestra'!$D$8:$D$42,ROW('03.Muestra'!$F$8:$F$42)-MIN(ROW('03.Muestra'!$D$8:$D$42))+1,""),ROW()-1044)),"")</f>
        <v>https://www.comunidad.madrid/tacp/busquedaresoluciones</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Novedades</v>
      </c>
      <c r="C1056" s="85" t="str" cm="1">
        <f t="array" ref="C1056">IFERROR(INDEX('03.Muestra'!$F$8:$F$42,SMALL(IF("Página Web"='03.Muestra'!$D$8:$D$42,ROW('03.Muestra'!$F$8:$F$42)-MIN(ROW('03.Muestra'!$D$8:$D$42))+1,""),ROW()-1044)),"")</f>
        <v>https://www.comunidad.madrid/tacp/noticias</v>
      </c>
      <c r="D1056" s="99" t="s">
        <v>94</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Recursos especiales</v>
      </c>
      <c r="C1057" s="85" t="str" cm="1">
        <f t="array" ref="C1057">IFERROR(INDEX('03.Muestra'!$F$8:$F$42,SMALL(IF("Página Web"='03.Muestra'!$D$8:$D$42,ROW('03.Muestra'!$F$8:$F$42)-MIN(ROW('03.Muestra'!$D$8:$D$42))+1,""),ROW()-1044)),"")</f>
        <v>https://www.comunidad.madrid/tacp/novedades/publicacion-recursos-especiales-en-perfil-contratante</v>
      </c>
      <c r="D1057" s="99" t="s">
        <v>94</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Normativa</v>
      </c>
      <c r="C1058" s="85" t="str" cm="1">
        <f t="array" ref="C1058">IFERROR(INDEX('03.Muestra'!$F$8:$F$42,SMALL(IF("Página Web"='03.Muestra'!$D$8:$D$42,ROW('03.Muestra'!$F$8:$F$42)-MIN(ROW('03.Muestra'!$D$8:$D$42))+1,""),ROW()-1044)),"")</f>
        <v>https://www.comunidad.madrid/es/tacp/normativa</v>
      </c>
      <c r="D1058" s="99" t="s">
        <v>94</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Organos Competentes</v>
      </c>
      <c r="C1059" s="85" t="str" cm="1">
        <f t="array" ref="C1059">IFERROR(INDEX('03.Muestra'!$F$8:$F$42,SMALL(IF("Página Web"='03.Muestra'!$D$8:$D$42,ROW('03.Muestra'!$F$8:$F$42)-MIN(ROW('03.Muestra'!$D$8:$D$42))+1,""),ROW()-1044)),"")</f>
        <v>https://www.comunidad.madrid/es/tacp/otros-organos-competentes</v>
      </c>
      <c r="D1059" s="99" t="s">
        <v>94</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Contacto</v>
      </c>
      <c r="C1060" s="85" t="str" cm="1">
        <f t="array" ref="C1060">IFERROR(INDEX('03.Muestra'!$F$8:$F$42,SMALL(IF("Página Web"='03.Muestra'!$D$8:$D$42,ROW('03.Muestra'!$F$8:$F$42)-MIN(ROW('03.Muestra'!$D$8:$D$42))+1,""),ROW()-1044)),"")</f>
        <v>https://www.comunidad.madrid/es/tacp/contact</v>
      </c>
      <c r="D1060" s="99" t="s">
        <v>94</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Accesibilidad</v>
      </c>
      <c r="C1061" s="85" t="str" cm="1">
        <f t="array" ref="C1061">IFERROR(INDEX('03.Muestra'!$F$8:$F$42,SMALL(IF("Página Web"='03.Muestra'!$D$8:$D$42,ROW('03.Muestra'!$F$8:$F$42)-MIN(ROW('03.Muestra'!$D$8:$D$42))+1,""),ROW()-1044)),"")</f>
        <v>https://www.comunidad.madrid/es/tacp/accesibilidad</v>
      </c>
      <c r="D1061" s="99" t="s">
        <v>94</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ref="D1062:D1079" si="55">IF(AND(B1062&lt;&gt;"",C1062&lt;&gt;""),"N/T","")</f>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101</v>
      </c>
      <c r="B1082" s="23" t="s">
        <v>93</v>
      </c>
      <c r="C1082" s="24" t="s">
        <v>172</v>
      </c>
      <c r="D1082" s="25" t="s">
        <v>103</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https://www.comunidad.madrid/tacp/</v>
      </c>
      <c r="D1083" s="99" t="s">
        <v>94</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Carta del presidente</v>
      </c>
      <c r="C1084" s="85" t="str" cm="1">
        <f t="array" ref="C1084">IFERROR(INDEX('03.Muestra'!$F$8:$F$42,SMALL(IF("Página Web"='03.Muestra'!$D$8:$D$42,ROW('03.Muestra'!$F$8:$F$42)-MIN(ROW('03.Muestra'!$D$8:$D$42))+1,""),ROW()-1082)),"")</f>
        <v>https://www.comunidad.madrid/tacp/carta-del-presidente</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17</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Organización</v>
      </c>
      <c r="C1085" s="85" t="str" cm="1">
        <f t="array" ref="C1085">IFERROR(INDEX('03.Muestra'!$F$8:$F$42,SMALL(IF("Página Web"='03.Muestra'!$D$8:$D$42,ROW('03.Muestra'!$F$8:$F$42)-MIN(ROW('03.Muestra'!$D$8:$D$42))+1,""),ROW()-1082)),"")</f>
        <v>https://www.comunidad.madrid/tacp/el-tribunal/organización</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Acuerdos</v>
      </c>
      <c r="C1086" s="85" t="str" cm="1">
        <f t="array" ref="C1086">IFERROR(INDEX('03.Muestra'!$F$8:$F$42,SMALL(IF("Página Web"='03.Muestra'!$D$8:$D$42,ROW('03.Muestra'!$F$8:$F$42)-MIN(ROW('03.Muestra'!$D$8:$D$42))+1,""),ROW()-1082)),"")</f>
        <v>https://www.comunidad.madrid/tacp/el-tribunal/acuerdos-del-tacp</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Presentacion</v>
      </c>
      <c r="C1087" s="85" t="str" cm="1">
        <f t="array" ref="C1087">IFERROR(INDEX('03.Muestra'!$F$8:$F$42,SMALL(IF("Página Web"='03.Muestra'!$D$8:$D$42,ROW('03.Muestra'!$F$8:$F$42)-MIN(ROW('03.Muestra'!$D$8:$D$42))+1,""),ROW()-1082)),"")</f>
        <v>https://www.comunidad.madrid/tacp/el-tribunal/presentacion-electronica-e-impresos-normalizados</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Guia</v>
      </c>
      <c r="C1088" s="85" t="str" cm="1">
        <f t="array" ref="C1088">IFERROR(INDEX('03.Muestra'!$F$8:$F$42,SMALL(IF("Página Web"='03.Muestra'!$D$8:$D$42,ROW('03.Muestra'!$F$8:$F$42)-MIN(ROW('03.Muestra'!$D$8:$D$42))+1,""),ROW()-1082)),"")</f>
        <v>https://www.comunidad.madrid/tacp/el-tribunal/guia-informativa-sobre-la-regulacion-del-tribunal-de-contratacion-publica-y-los</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Preguntas</v>
      </c>
      <c r="C1089" s="85" t="str" cm="1">
        <f t="array" ref="C1089">IFERROR(INDEX('03.Muestra'!$F$8:$F$42,SMALL(IF("Página Web"='03.Muestra'!$D$8:$D$42,ROW('03.Muestra'!$F$8:$F$42)-MIN(ROW('03.Muestra'!$D$8:$D$42))+1,""),ROW()-1082)),"")</f>
        <v>https://www.comunidad.madrid/tacp/faq-page</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Histórico</v>
      </c>
      <c r="C1090" s="85" t="str" cm="1">
        <f t="array" ref="C1090">IFERROR(INDEX('03.Muestra'!$F$8:$F$42,SMALL(IF("Página Web"='03.Muestra'!$D$8:$D$42,ROW('03.Muestra'!$F$8:$F$42)-MIN(ROW('03.Muestra'!$D$8:$D$42))+1,""),ROW()-1082)),"")</f>
        <v>https://www.comunidad.madrid/tacp/el-tribunal/historico-resoluciones-de-las-reclamaciones-de-acceso-informacion-publica</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Estudios</v>
      </c>
      <c r="C1091" s="85" t="str" cm="1">
        <f t="array" ref="C1091">IFERROR(INDEX('03.Muestra'!$F$8:$F$42,SMALL(IF("Página Web"='03.Muestra'!$D$8:$D$42,ROW('03.Muestra'!$F$8:$F$42)-MIN(ROW('03.Muestra'!$D$8:$D$42))+1,""),ROW()-1082)),"")</f>
        <v>https://www.comunidad.madrid/tacp/estudios</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Memorias</v>
      </c>
      <c r="C1092" s="85" t="str" cm="1">
        <f t="array" ref="C1092">IFERROR(INDEX('03.Muestra'!$F$8:$F$42,SMALL(IF("Página Web"='03.Muestra'!$D$8:$D$42,ROW('03.Muestra'!$F$8:$F$42)-MIN(ROW('03.Muestra'!$D$8:$D$42))+1,""),ROW()-1082)),"")</f>
        <v>https://www.comunidad.madrid/tacp/memorias</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Busqueda Resol</v>
      </c>
      <c r="C1093" s="85" t="str" cm="1">
        <f t="array" ref="C1093">IFERROR(INDEX('03.Muestra'!$F$8:$F$42,SMALL(IF("Página Web"='03.Muestra'!$D$8:$D$42,ROW('03.Muestra'!$F$8:$F$42)-MIN(ROW('03.Muestra'!$D$8:$D$42))+1,""),ROW()-1082)),"")</f>
        <v>https://www.comunidad.madrid/tacp/busquedaresoluciones</v>
      </c>
      <c r="D1093" s="99" t="s">
        <v>94</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Novedades</v>
      </c>
      <c r="C1094" s="85" t="str" cm="1">
        <f t="array" ref="C1094">IFERROR(INDEX('03.Muestra'!$F$8:$F$42,SMALL(IF("Página Web"='03.Muestra'!$D$8:$D$42,ROW('03.Muestra'!$F$8:$F$42)-MIN(ROW('03.Muestra'!$D$8:$D$42))+1,""),ROW()-1082)),"")</f>
        <v>https://www.comunidad.madrid/tacp/noticias</v>
      </c>
      <c r="D1094" s="99" t="s">
        <v>94</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Recursos especiales</v>
      </c>
      <c r="C1095" s="85" t="str" cm="1">
        <f t="array" ref="C1095">IFERROR(INDEX('03.Muestra'!$F$8:$F$42,SMALL(IF("Página Web"='03.Muestra'!$D$8:$D$42,ROW('03.Muestra'!$F$8:$F$42)-MIN(ROW('03.Muestra'!$D$8:$D$42))+1,""),ROW()-1082)),"")</f>
        <v>https://www.comunidad.madrid/tacp/novedades/publicacion-recursos-especiales-en-perfil-contratante</v>
      </c>
      <c r="D1095" s="99" t="s">
        <v>94</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Normativa</v>
      </c>
      <c r="C1096" s="85" t="str" cm="1">
        <f t="array" ref="C1096">IFERROR(INDEX('03.Muestra'!$F$8:$F$42,SMALL(IF("Página Web"='03.Muestra'!$D$8:$D$42,ROW('03.Muestra'!$F$8:$F$42)-MIN(ROW('03.Muestra'!$D$8:$D$42))+1,""),ROW()-1082)),"")</f>
        <v>https://www.comunidad.madrid/es/tacp/normativa</v>
      </c>
      <c r="D1096" s="99" t="s">
        <v>94</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Organos Competentes</v>
      </c>
      <c r="C1097" s="85" t="str" cm="1">
        <f t="array" ref="C1097">IFERROR(INDEX('03.Muestra'!$F$8:$F$42,SMALL(IF("Página Web"='03.Muestra'!$D$8:$D$42,ROW('03.Muestra'!$F$8:$F$42)-MIN(ROW('03.Muestra'!$D$8:$D$42))+1,""),ROW()-1082)),"")</f>
        <v>https://www.comunidad.madrid/es/tacp/otros-organos-competentes</v>
      </c>
      <c r="D1097" s="99" t="s">
        <v>94</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Contacto</v>
      </c>
      <c r="C1098" s="85" t="str" cm="1">
        <f t="array" ref="C1098">IFERROR(INDEX('03.Muestra'!$F$8:$F$42,SMALL(IF("Página Web"='03.Muestra'!$D$8:$D$42,ROW('03.Muestra'!$F$8:$F$42)-MIN(ROW('03.Muestra'!$D$8:$D$42))+1,""),ROW()-1082)),"")</f>
        <v>https://www.comunidad.madrid/es/tacp/contact</v>
      </c>
      <c r="D1098" s="99" t="s">
        <v>94</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Accesibilidad</v>
      </c>
      <c r="C1099" s="85" t="str" cm="1">
        <f t="array" ref="C1099">IFERROR(INDEX('03.Muestra'!$F$8:$F$42,SMALL(IF("Página Web"='03.Muestra'!$D$8:$D$42,ROW('03.Muestra'!$F$8:$F$42)-MIN(ROW('03.Muestra'!$D$8:$D$42))+1,""),ROW()-1082)),"")</f>
        <v>https://www.comunidad.madrid/es/tacp/accesibilidad</v>
      </c>
      <c r="D1099" s="99" t="s">
        <v>94</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ref="D1100:D1117" si="57">IF(AND(B1100&lt;&gt;"",C1100&lt;&gt;""),"N/T","")</f>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101</v>
      </c>
      <c r="B1120" s="23" t="s">
        <v>93</v>
      </c>
      <c r="C1120" s="24" t="s">
        <v>173</v>
      </c>
      <c r="D1120" s="25" t="s">
        <v>103</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https://www.comunidad.madrid/tacp/</v>
      </c>
      <c r="D1121" s="99" t="s">
        <v>94</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Carta del presidente</v>
      </c>
      <c r="C1122" s="85" t="str" cm="1">
        <f t="array" ref="C1122">IFERROR(INDEX('03.Muestra'!$F$8:$F$42,SMALL(IF("Página Web"='03.Muestra'!$D$8:$D$42,ROW('03.Muestra'!$F$8:$F$42)-MIN(ROW('03.Muestra'!$D$8:$D$42))+1,""),ROW()-1120)),"")</f>
        <v>https://www.comunidad.madrid/tacp/carta-del-presidente</v>
      </c>
      <c r="D1122" s="99" t="s">
        <v>94</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17</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Organización</v>
      </c>
      <c r="C1123" s="85" t="str" cm="1">
        <f t="array" ref="C1123">IFERROR(INDEX('03.Muestra'!$F$8:$F$42,SMALL(IF("Página Web"='03.Muestra'!$D$8:$D$42,ROW('03.Muestra'!$F$8:$F$42)-MIN(ROW('03.Muestra'!$D$8:$D$42))+1,""),ROW()-1120)),"")</f>
        <v>https://www.comunidad.madrid/tacp/el-tribunal/organización</v>
      </c>
      <c r="D1123" s="99" t="s">
        <v>94</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Acuerdos</v>
      </c>
      <c r="C1124" s="85" t="str" cm="1">
        <f t="array" ref="C1124">IFERROR(INDEX('03.Muestra'!$F$8:$F$42,SMALL(IF("Página Web"='03.Muestra'!$D$8:$D$42,ROW('03.Muestra'!$F$8:$F$42)-MIN(ROW('03.Muestra'!$D$8:$D$42))+1,""),ROW()-1120)),"")</f>
        <v>https://www.comunidad.madrid/tacp/el-tribunal/acuerdos-del-tacp</v>
      </c>
      <c r="D1124" s="99" t="s">
        <v>94</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Presentacion</v>
      </c>
      <c r="C1125" s="85" t="str" cm="1">
        <f t="array" ref="C1125">IFERROR(INDEX('03.Muestra'!$F$8:$F$42,SMALL(IF("Página Web"='03.Muestra'!$D$8:$D$42,ROW('03.Muestra'!$F$8:$F$42)-MIN(ROW('03.Muestra'!$D$8:$D$42))+1,""),ROW()-1120)),"")</f>
        <v>https://www.comunidad.madrid/tacp/el-tribunal/presentacion-electronica-e-impresos-normalizados</v>
      </c>
      <c r="D1125" s="99" t="s">
        <v>94</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Guia</v>
      </c>
      <c r="C1126" s="85" t="str" cm="1">
        <f t="array" ref="C1126">IFERROR(INDEX('03.Muestra'!$F$8:$F$42,SMALL(IF("Página Web"='03.Muestra'!$D$8:$D$42,ROW('03.Muestra'!$F$8:$F$42)-MIN(ROW('03.Muestra'!$D$8:$D$42))+1,""),ROW()-1120)),"")</f>
        <v>https://www.comunidad.madrid/tacp/el-tribunal/guia-informativa-sobre-la-regulacion-del-tribunal-de-contratacion-publica-y-los</v>
      </c>
      <c r="D1126" s="99" t="s">
        <v>94</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Preguntas</v>
      </c>
      <c r="C1127" s="85" t="str" cm="1">
        <f t="array" ref="C1127">IFERROR(INDEX('03.Muestra'!$F$8:$F$42,SMALL(IF("Página Web"='03.Muestra'!$D$8:$D$42,ROW('03.Muestra'!$F$8:$F$42)-MIN(ROW('03.Muestra'!$D$8:$D$42))+1,""),ROW()-1120)),"")</f>
        <v>https://www.comunidad.madrid/tacp/faq-page</v>
      </c>
      <c r="D1127" s="99" t="s">
        <v>94</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Histórico</v>
      </c>
      <c r="C1128" s="85" t="str" cm="1">
        <f t="array" ref="C1128">IFERROR(INDEX('03.Muestra'!$F$8:$F$42,SMALL(IF("Página Web"='03.Muestra'!$D$8:$D$42,ROW('03.Muestra'!$F$8:$F$42)-MIN(ROW('03.Muestra'!$D$8:$D$42))+1,""),ROW()-1120)),"")</f>
        <v>https://www.comunidad.madrid/tacp/el-tribunal/historico-resoluciones-de-las-reclamaciones-de-acceso-informacion-publica</v>
      </c>
      <c r="D1128" s="99" t="s">
        <v>94</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Estudios</v>
      </c>
      <c r="C1129" s="85" t="str" cm="1">
        <f t="array" ref="C1129">IFERROR(INDEX('03.Muestra'!$F$8:$F$42,SMALL(IF("Página Web"='03.Muestra'!$D$8:$D$42,ROW('03.Muestra'!$F$8:$F$42)-MIN(ROW('03.Muestra'!$D$8:$D$42))+1,""),ROW()-1120)),"")</f>
        <v>https://www.comunidad.madrid/tacp/estudios</v>
      </c>
      <c r="D1129" s="99" t="s">
        <v>94</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Memorias</v>
      </c>
      <c r="C1130" s="85" t="str" cm="1">
        <f t="array" ref="C1130">IFERROR(INDEX('03.Muestra'!$F$8:$F$42,SMALL(IF("Página Web"='03.Muestra'!$D$8:$D$42,ROW('03.Muestra'!$F$8:$F$42)-MIN(ROW('03.Muestra'!$D$8:$D$42))+1,""),ROW()-1120)),"")</f>
        <v>https://www.comunidad.madrid/tacp/memorias</v>
      </c>
      <c r="D1130" s="99" t="s">
        <v>94</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Busqueda Resol</v>
      </c>
      <c r="C1131" s="85" t="str" cm="1">
        <f t="array" ref="C1131">IFERROR(INDEX('03.Muestra'!$F$8:$F$42,SMALL(IF("Página Web"='03.Muestra'!$D$8:$D$42,ROW('03.Muestra'!$F$8:$F$42)-MIN(ROW('03.Muestra'!$D$8:$D$42))+1,""),ROW()-1120)),"")</f>
        <v>https://www.comunidad.madrid/tacp/busquedaresoluciones</v>
      </c>
      <c r="D1131" s="99" t="s">
        <v>94</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Novedades</v>
      </c>
      <c r="C1132" s="85" t="str" cm="1">
        <f t="array" ref="C1132">IFERROR(INDEX('03.Muestra'!$F$8:$F$42,SMALL(IF("Página Web"='03.Muestra'!$D$8:$D$42,ROW('03.Muestra'!$F$8:$F$42)-MIN(ROW('03.Muestra'!$D$8:$D$42))+1,""),ROW()-1120)),"")</f>
        <v>https://www.comunidad.madrid/tacp/noticias</v>
      </c>
      <c r="D1132" s="99" t="s">
        <v>94</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Recursos especiales</v>
      </c>
      <c r="C1133" s="85" t="str" cm="1">
        <f t="array" ref="C1133">IFERROR(INDEX('03.Muestra'!$F$8:$F$42,SMALL(IF("Página Web"='03.Muestra'!$D$8:$D$42,ROW('03.Muestra'!$F$8:$F$42)-MIN(ROW('03.Muestra'!$D$8:$D$42))+1,""),ROW()-1120)),"")</f>
        <v>https://www.comunidad.madrid/tacp/novedades/publicacion-recursos-especiales-en-perfil-contratante</v>
      </c>
      <c r="D1133" s="99" t="s">
        <v>94</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Normativa</v>
      </c>
      <c r="C1134" s="85" t="str" cm="1">
        <f t="array" ref="C1134">IFERROR(INDEX('03.Muestra'!$F$8:$F$42,SMALL(IF("Página Web"='03.Muestra'!$D$8:$D$42,ROW('03.Muestra'!$F$8:$F$42)-MIN(ROW('03.Muestra'!$D$8:$D$42))+1,""),ROW()-1120)),"")</f>
        <v>https://www.comunidad.madrid/es/tacp/normativa</v>
      </c>
      <c r="D1134" s="99" t="s">
        <v>94</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Organos Competentes</v>
      </c>
      <c r="C1135" s="85" t="str" cm="1">
        <f t="array" ref="C1135">IFERROR(INDEX('03.Muestra'!$F$8:$F$42,SMALL(IF("Página Web"='03.Muestra'!$D$8:$D$42,ROW('03.Muestra'!$F$8:$F$42)-MIN(ROW('03.Muestra'!$D$8:$D$42))+1,""),ROW()-1120)),"")</f>
        <v>https://www.comunidad.madrid/es/tacp/otros-organos-competentes</v>
      </c>
      <c r="D1135" s="99" t="s">
        <v>94</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Contacto</v>
      </c>
      <c r="C1136" s="85" t="str" cm="1">
        <f t="array" ref="C1136">IFERROR(INDEX('03.Muestra'!$F$8:$F$42,SMALL(IF("Página Web"='03.Muestra'!$D$8:$D$42,ROW('03.Muestra'!$F$8:$F$42)-MIN(ROW('03.Muestra'!$D$8:$D$42))+1,""),ROW()-1120)),"")</f>
        <v>https://www.comunidad.madrid/es/tacp/contact</v>
      </c>
      <c r="D1136" s="99" t="s">
        <v>94</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Accesibilidad</v>
      </c>
      <c r="C1137" s="85" t="str" cm="1">
        <f t="array" ref="C1137">IFERROR(INDEX('03.Muestra'!$F$8:$F$42,SMALL(IF("Página Web"='03.Muestra'!$D$8:$D$42,ROW('03.Muestra'!$F$8:$F$42)-MIN(ROW('03.Muestra'!$D$8:$D$42))+1,""),ROW()-1120)),"")</f>
        <v>https://www.comunidad.madrid/es/tacp/accesibilidad</v>
      </c>
      <c r="D1137" s="99" t="s">
        <v>94</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ref="D1138:D1155" si="59">IF(AND(B1138&lt;&gt;"",C1138&lt;&gt;""),"N/T","")</f>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101</v>
      </c>
      <c r="B1158" s="23" t="s">
        <v>93</v>
      </c>
      <c r="C1158" s="24" t="s">
        <v>174</v>
      </c>
      <c r="D1158" s="25" t="s">
        <v>103</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https://www.comunidad.madrid/tacp/</v>
      </c>
      <c r="D1159" s="99" t="s">
        <v>94</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Carta del presidente</v>
      </c>
      <c r="C1160" s="85" t="str" cm="1">
        <f t="array" ref="C1160">IFERROR(INDEX('03.Muestra'!$F$8:$F$42,SMALL(IF("Página Web"='03.Muestra'!$D$8:$D$42,ROW('03.Muestra'!$F$8:$F$42)-MIN(ROW('03.Muestra'!$D$8:$D$42))+1,""),ROW()-1158)),"")</f>
        <v>https://www.comunidad.madrid/tacp/carta-del-presidente</v>
      </c>
      <c r="D1160" s="99" t="s">
        <v>94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17</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Organización</v>
      </c>
      <c r="C1161" s="85" t="str" cm="1">
        <f t="array" ref="C1161">IFERROR(INDEX('03.Muestra'!$F$8:$F$42,SMALL(IF("Página Web"='03.Muestra'!$D$8:$D$42,ROW('03.Muestra'!$F$8:$F$42)-MIN(ROW('03.Muestra'!$D$8:$D$42))+1,""),ROW()-1158)),"")</f>
        <v>https://www.comunidad.madrid/tacp/el-tribunal/organización</v>
      </c>
      <c r="D1161" s="99" t="s">
        <v>94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Acuerdos</v>
      </c>
      <c r="C1162" s="85" t="str" cm="1">
        <f t="array" ref="C1162">IFERROR(INDEX('03.Muestra'!$F$8:$F$42,SMALL(IF("Página Web"='03.Muestra'!$D$8:$D$42,ROW('03.Muestra'!$F$8:$F$42)-MIN(ROW('03.Muestra'!$D$8:$D$42))+1,""),ROW()-1158)),"")</f>
        <v>https://www.comunidad.madrid/tacp/el-tribunal/acuerdos-del-tacp</v>
      </c>
      <c r="D1162" s="99" t="s">
        <v>94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Presentacion</v>
      </c>
      <c r="C1163" s="85" t="str" cm="1">
        <f t="array" ref="C1163">IFERROR(INDEX('03.Muestra'!$F$8:$F$42,SMALL(IF("Página Web"='03.Muestra'!$D$8:$D$42,ROW('03.Muestra'!$F$8:$F$42)-MIN(ROW('03.Muestra'!$D$8:$D$42))+1,""),ROW()-1158)),"")</f>
        <v>https://www.comunidad.madrid/tacp/el-tribunal/presentacion-electronica-e-impresos-normalizados</v>
      </c>
      <c r="D1163" s="99" t="s">
        <v>94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Guia</v>
      </c>
      <c r="C1164" s="85" t="str" cm="1">
        <f t="array" ref="C1164">IFERROR(INDEX('03.Muestra'!$F$8:$F$42,SMALL(IF("Página Web"='03.Muestra'!$D$8:$D$42,ROW('03.Muestra'!$F$8:$F$42)-MIN(ROW('03.Muestra'!$D$8:$D$42))+1,""),ROW()-1158)),"")</f>
        <v>https://www.comunidad.madrid/tacp/el-tribunal/guia-informativa-sobre-la-regulacion-del-tribunal-de-contratacion-publica-y-los</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Preguntas</v>
      </c>
      <c r="C1165" s="85" t="str" cm="1">
        <f t="array" ref="C1165">IFERROR(INDEX('03.Muestra'!$F$8:$F$42,SMALL(IF("Página Web"='03.Muestra'!$D$8:$D$42,ROW('03.Muestra'!$F$8:$F$42)-MIN(ROW('03.Muestra'!$D$8:$D$42))+1,""),ROW()-1158)),"")</f>
        <v>https://www.comunidad.madrid/tacp/faq-page</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Histórico</v>
      </c>
      <c r="C1166" s="85" t="str" cm="1">
        <f t="array" ref="C1166">IFERROR(INDEX('03.Muestra'!$F$8:$F$42,SMALL(IF("Página Web"='03.Muestra'!$D$8:$D$42,ROW('03.Muestra'!$F$8:$F$42)-MIN(ROW('03.Muestra'!$D$8:$D$42))+1,""),ROW()-1158)),"")</f>
        <v>https://www.comunidad.madrid/tacp/el-tribunal/historico-resoluciones-de-las-reclamaciones-de-acceso-informacion-publica</v>
      </c>
      <c r="D1166" s="99" t="s">
        <v>94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Estudios</v>
      </c>
      <c r="C1167" s="85" t="str" cm="1">
        <f t="array" ref="C1167">IFERROR(INDEX('03.Muestra'!$F$8:$F$42,SMALL(IF("Página Web"='03.Muestra'!$D$8:$D$42,ROW('03.Muestra'!$F$8:$F$42)-MIN(ROW('03.Muestra'!$D$8:$D$42))+1,""),ROW()-1158)),"")</f>
        <v>https://www.comunidad.madrid/tacp/estudios</v>
      </c>
      <c r="D1167" s="99" t="s">
        <v>94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Memorias</v>
      </c>
      <c r="C1168" s="85" t="str" cm="1">
        <f t="array" ref="C1168">IFERROR(INDEX('03.Muestra'!$F$8:$F$42,SMALL(IF("Página Web"='03.Muestra'!$D$8:$D$42,ROW('03.Muestra'!$F$8:$F$42)-MIN(ROW('03.Muestra'!$D$8:$D$42))+1,""),ROW()-1158)),"")</f>
        <v>https://www.comunidad.madrid/tacp/memorias</v>
      </c>
      <c r="D1168" s="99" t="s">
        <v>94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Busqueda Resol</v>
      </c>
      <c r="C1169" s="85" t="str" cm="1">
        <f t="array" ref="C1169">IFERROR(INDEX('03.Muestra'!$F$8:$F$42,SMALL(IF("Página Web"='03.Muestra'!$D$8:$D$42,ROW('03.Muestra'!$F$8:$F$42)-MIN(ROW('03.Muestra'!$D$8:$D$42))+1,""),ROW()-1158)),"")</f>
        <v>https://www.comunidad.madrid/tacp/busquedaresoluciones</v>
      </c>
      <c r="D1169" s="99" t="s">
        <v>94</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Novedades</v>
      </c>
      <c r="C1170" s="85" t="str" cm="1">
        <f t="array" ref="C1170">IFERROR(INDEX('03.Muestra'!$F$8:$F$42,SMALL(IF("Página Web"='03.Muestra'!$D$8:$D$42,ROW('03.Muestra'!$F$8:$F$42)-MIN(ROW('03.Muestra'!$D$8:$D$42))+1,""),ROW()-1158)),"")</f>
        <v>https://www.comunidad.madrid/tacp/noticias</v>
      </c>
      <c r="D1170" s="99" t="s">
        <v>94</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Recursos especiales</v>
      </c>
      <c r="C1171" s="85" t="str" cm="1">
        <f t="array" ref="C1171">IFERROR(INDEX('03.Muestra'!$F$8:$F$42,SMALL(IF("Página Web"='03.Muestra'!$D$8:$D$42,ROW('03.Muestra'!$F$8:$F$42)-MIN(ROW('03.Muestra'!$D$8:$D$42))+1,""),ROW()-1158)),"")</f>
        <v>https://www.comunidad.madrid/tacp/novedades/publicacion-recursos-especiales-en-perfil-contratante</v>
      </c>
      <c r="D1171" s="99" t="s">
        <v>94</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Normativa</v>
      </c>
      <c r="C1172" s="85" t="str" cm="1">
        <f t="array" ref="C1172">IFERROR(INDEX('03.Muestra'!$F$8:$F$42,SMALL(IF("Página Web"='03.Muestra'!$D$8:$D$42,ROW('03.Muestra'!$F$8:$F$42)-MIN(ROW('03.Muestra'!$D$8:$D$42))+1,""),ROW()-1158)),"")</f>
        <v>https://www.comunidad.madrid/es/tacp/normativa</v>
      </c>
      <c r="D1172" s="99" t="s">
        <v>94</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Organos Competentes</v>
      </c>
      <c r="C1173" s="85" t="str" cm="1">
        <f t="array" ref="C1173">IFERROR(INDEX('03.Muestra'!$F$8:$F$42,SMALL(IF("Página Web"='03.Muestra'!$D$8:$D$42,ROW('03.Muestra'!$F$8:$F$42)-MIN(ROW('03.Muestra'!$D$8:$D$42))+1,""),ROW()-1158)),"")</f>
        <v>https://www.comunidad.madrid/es/tacp/otros-organos-competentes</v>
      </c>
      <c r="D1173" s="99" t="s">
        <v>94</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Contacto</v>
      </c>
      <c r="C1174" s="85" t="str" cm="1">
        <f t="array" ref="C1174">IFERROR(INDEX('03.Muestra'!$F$8:$F$42,SMALL(IF("Página Web"='03.Muestra'!$D$8:$D$42,ROW('03.Muestra'!$F$8:$F$42)-MIN(ROW('03.Muestra'!$D$8:$D$42))+1,""),ROW()-1158)),"")</f>
        <v>https://www.comunidad.madrid/es/tacp/contact</v>
      </c>
      <c r="D1174" s="99" t="s">
        <v>94</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Accesibilidad</v>
      </c>
      <c r="C1175" s="85" t="str" cm="1">
        <f t="array" ref="C1175">IFERROR(INDEX('03.Muestra'!$F$8:$F$42,SMALL(IF("Página Web"='03.Muestra'!$D$8:$D$42,ROW('03.Muestra'!$F$8:$F$42)-MIN(ROW('03.Muestra'!$D$8:$D$42))+1,""),ROW()-1158)),"")</f>
        <v>https://www.comunidad.madrid/es/tacp/accesibilidad</v>
      </c>
      <c r="D1175" s="99" t="s">
        <v>94</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ref="D1176:D1193" si="61">IF(AND(B1176&lt;&gt;"",C1176&lt;&gt;""),"N/T","")</f>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101</v>
      </c>
      <c r="B1196" s="23" t="s">
        <v>93</v>
      </c>
      <c r="C1196" s="24" t="s">
        <v>175</v>
      </c>
      <c r="D1196" s="25" t="s">
        <v>103</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https://www.comunidad.madrid/tacp/</v>
      </c>
      <c r="D1197" s="99" t="s">
        <v>96</v>
      </c>
      <c r="E1197" s="79" t="str">
        <f t="shared" ref="E1197:E1231" si="62">IF(D1197&lt;&gt;"",IF(AND(B1197&lt;&gt;"",C1197&lt;&gt;""),"","ERR"),"")</f>
        <v/>
      </c>
      <c r="F1197" s="86" t="s">
        <v>104</v>
      </c>
      <c r="G1197" s="87" t="s">
        <v>105</v>
      </c>
      <c r="H1197" s="88" t="s">
        <v>106</v>
      </c>
      <c r="I1197" s="89" t="s">
        <v>96</v>
      </c>
      <c r="J1197" s="90" t="s">
        <v>94</v>
      </c>
      <c r="K1197" s="179" t="s">
        <v>100</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Carta del presidente</v>
      </c>
      <c r="C1198" s="85" t="str" cm="1">
        <f t="array" ref="C1198">IFERROR(INDEX('03.Muestra'!$F$8:$F$42,SMALL(IF("Página Web"='03.Muestra'!$D$8:$D$42,ROW('03.Muestra'!$F$8:$F$42)-MIN(ROW('03.Muestra'!$D$8:$D$42))+1,""),ROW()-1196)),"")</f>
        <v>https://www.comunidad.madrid/tacp/carta-del-presidente</v>
      </c>
      <c r="D1198" s="99" t="s">
        <v>96</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17</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Organización</v>
      </c>
      <c r="C1199" s="85" t="str" cm="1">
        <f t="array" ref="C1199">IFERROR(INDEX('03.Muestra'!$F$8:$F$42,SMALL(IF("Página Web"='03.Muestra'!$D$8:$D$42,ROW('03.Muestra'!$F$8:$F$42)-MIN(ROW('03.Muestra'!$D$8:$D$42))+1,""),ROW()-1196)),"")</f>
        <v>https://www.comunidad.madrid/tacp/el-tribunal/organización</v>
      </c>
      <c r="D1199" s="99" t="s">
        <v>96</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Acuerdos</v>
      </c>
      <c r="C1200" s="85" t="str" cm="1">
        <f t="array" ref="C1200">IFERROR(INDEX('03.Muestra'!$F$8:$F$42,SMALL(IF("Página Web"='03.Muestra'!$D$8:$D$42,ROW('03.Muestra'!$F$8:$F$42)-MIN(ROW('03.Muestra'!$D$8:$D$42))+1,""),ROW()-1196)),"")</f>
        <v>https://www.comunidad.madrid/tacp/el-tribunal/acuerdos-del-tacp</v>
      </c>
      <c r="D1200" s="99" t="s">
        <v>96</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Presentacion</v>
      </c>
      <c r="C1201" s="85" t="str" cm="1">
        <f t="array" ref="C1201">IFERROR(INDEX('03.Muestra'!$F$8:$F$42,SMALL(IF("Página Web"='03.Muestra'!$D$8:$D$42,ROW('03.Muestra'!$F$8:$F$42)-MIN(ROW('03.Muestra'!$D$8:$D$42))+1,""),ROW()-1196)),"")</f>
        <v>https://www.comunidad.madrid/tacp/el-tribunal/presentacion-electronica-e-impresos-normalizados</v>
      </c>
      <c r="D1201" s="99" t="s">
        <v>96</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Guia</v>
      </c>
      <c r="C1202" s="85" t="str" cm="1">
        <f t="array" ref="C1202">IFERROR(INDEX('03.Muestra'!$F$8:$F$42,SMALL(IF("Página Web"='03.Muestra'!$D$8:$D$42,ROW('03.Muestra'!$F$8:$F$42)-MIN(ROW('03.Muestra'!$D$8:$D$42))+1,""),ROW()-1196)),"")</f>
        <v>https://www.comunidad.madrid/tacp/el-tribunal/guia-informativa-sobre-la-regulacion-del-tribunal-de-contratacion-publica-y-los</v>
      </c>
      <c r="D1202" s="99" t="s">
        <v>96</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Preguntas</v>
      </c>
      <c r="C1203" s="85" t="str" cm="1">
        <f t="array" ref="C1203">IFERROR(INDEX('03.Muestra'!$F$8:$F$42,SMALL(IF("Página Web"='03.Muestra'!$D$8:$D$42,ROW('03.Muestra'!$F$8:$F$42)-MIN(ROW('03.Muestra'!$D$8:$D$42))+1,""),ROW()-1196)),"")</f>
        <v>https://www.comunidad.madrid/tacp/faq-page</v>
      </c>
      <c r="D1203" s="99" t="s">
        <v>96</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Histórico</v>
      </c>
      <c r="C1204" s="85" t="str" cm="1">
        <f t="array" ref="C1204">IFERROR(INDEX('03.Muestra'!$F$8:$F$42,SMALL(IF("Página Web"='03.Muestra'!$D$8:$D$42,ROW('03.Muestra'!$F$8:$F$42)-MIN(ROW('03.Muestra'!$D$8:$D$42))+1,""),ROW()-1196)),"")</f>
        <v>https://www.comunidad.madrid/tacp/el-tribunal/historico-resoluciones-de-las-reclamaciones-de-acceso-informacion-publica</v>
      </c>
      <c r="D1204" s="99" t="s">
        <v>96</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Estudios</v>
      </c>
      <c r="C1205" s="85" t="str" cm="1">
        <f t="array" ref="C1205">IFERROR(INDEX('03.Muestra'!$F$8:$F$42,SMALL(IF("Página Web"='03.Muestra'!$D$8:$D$42,ROW('03.Muestra'!$F$8:$F$42)-MIN(ROW('03.Muestra'!$D$8:$D$42))+1,""),ROW()-1196)),"")</f>
        <v>https://www.comunidad.madrid/tacp/estudios</v>
      </c>
      <c r="D1205" s="99" t="s">
        <v>96</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Memorias</v>
      </c>
      <c r="C1206" s="85" t="str" cm="1">
        <f t="array" ref="C1206">IFERROR(INDEX('03.Muestra'!$F$8:$F$42,SMALL(IF("Página Web"='03.Muestra'!$D$8:$D$42,ROW('03.Muestra'!$F$8:$F$42)-MIN(ROW('03.Muestra'!$D$8:$D$42))+1,""),ROW()-1196)),"")</f>
        <v>https://www.comunidad.madrid/tacp/memorias</v>
      </c>
      <c r="D1206" s="99" t="s">
        <v>96</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Busqueda Resol</v>
      </c>
      <c r="C1207" s="85" t="str" cm="1">
        <f t="array" ref="C1207">IFERROR(INDEX('03.Muestra'!$F$8:$F$42,SMALL(IF("Página Web"='03.Muestra'!$D$8:$D$42,ROW('03.Muestra'!$F$8:$F$42)-MIN(ROW('03.Muestra'!$D$8:$D$42))+1,""),ROW()-1196)),"")</f>
        <v>https://www.comunidad.madrid/tacp/busquedaresoluciones</v>
      </c>
      <c r="D1207" s="99" t="s">
        <v>96</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Novedades</v>
      </c>
      <c r="C1208" s="85" t="str" cm="1">
        <f t="array" ref="C1208">IFERROR(INDEX('03.Muestra'!$F$8:$F$42,SMALL(IF("Página Web"='03.Muestra'!$D$8:$D$42,ROW('03.Muestra'!$F$8:$F$42)-MIN(ROW('03.Muestra'!$D$8:$D$42))+1,""),ROW()-1196)),"")</f>
        <v>https://www.comunidad.madrid/tacp/noticias</v>
      </c>
      <c r="D1208" s="99" t="s">
        <v>96</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Recursos especiales</v>
      </c>
      <c r="C1209" s="85" t="str" cm="1">
        <f t="array" ref="C1209">IFERROR(INDEX('03.Muestra'!$F$8:$F$42,SMALL(IF("Página Web"='03.Muestra'!$D$8:$D$42,ROW('03.Muestra'!$F$8:$F$42)-MIN(ROW('03.Muestra'!$D$8:$D$42))+1,""),ROW()-1196)),"")</f>
        <v>https://www.comunidad.madrid/tacp/novedades/publicacion-recursos-especiales-en-perfil-contratante</v>
      </c>
      <c r="D1209" s="99" t="s">
        <v>96</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Normativa</v>
      </c>
      <c r="C1210" s="85" t="str" cm="1">
        <f t="array" ref="C1210">IFERROR(INDEX('03.Muestra'!$F$8:$F$42,SMALL(IF("Página Web"='03.Muestra'!$D$8:$D$42,ROW('03.Muestra'!$F$8:$F$42)-MIN(ROW('03.Muestra'!$D$8:$D$42))+1,""),ROW()-1196)),"")</f>
        <v>https://www.comunidad.madrid/es/tacp/normativa</v>
      </c>
      <c r="D1210" s="99" t="s">
        <v>96</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Organos Competentes</v>
      </c>
      <c r="C1211" s="85" t="str" cm="1">
        <f t="array" ref="C1211">IFERROR(INDEX('03.Muestra'!$F$8:$F$42,SMALL(IF("Página Web"='03.Muestra'!$D$8:$D$42,ROW('03.Muestra'!$F$8:$F$42)-MIN(ROW('03.Muestra'!$D$8:$D$42))+1,""),ROW()-1196)),"")</f>
        <v>https://www.comunidad.madrid/es/tacp/otros-organos-competentes</v>
      </c>
      <c r="D1211" s="99" t="s">
        <v>96</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Contacto</v>
      </c>
      <c r="C1212" s="85" t="str" cm="1">
        <f t="array" ref="C1212">IFERROR(INDEX('03.Muestra'!$F$8:$F$42,SMALL(IF("Página Web"='03.Muestra'!$D$8:$D$42,ROW('03.Muestra'!$F$8:$F$42)-MIN(ROW('03.Muestra'!$D$8:$D$42))+1,""),ROW()-1196)),"")</f>
        <v>https://www.comunidad.madrid/es/tacp/contact</v>
      </c>
      <c r="D1212" s="99" t="s">
        <v>96</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Accesibilidad</v>
      </c>
      <c r="C1213" s="85" t="str" cm="1">
        <f t="array" ref="C1213">IFERROR(INDEX('03.Muestra'!$F$8:$F$42,SMALL(IF("Página Web"='03.Muestra'!$D$8:$D$42,ROW('03.Muestra'!$F$8:$F$42)-MIN(ROW('03.Muestra'!$D$8:$D$42))+1,""),ROW()-1196)),"")</f>
        <v>https://www.comunidad.madrid/es/tacp/accesibilidad</v>
      </c>
      <c r="D1213" s="99" t="s">
        <v>96</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ref="D1214:D1231" si="63">IF(AND(B1214&lt;&gt;"",C1214&lt;&gt;""),"N/T","")</f>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101</v>
      </c>
      <c r="B1234" s="23" t="s">
        <v>93</v>
      </c>
      <c r="C1234" s="24" t="s">
        <v>176</v>
      </c>
      <c r="D1234" s="25" t="s">
        <v>103</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https://www.comunidad.madrid/tacp/</v>
      </c>
      <c r="D1235" s="99" t="s">
        <v>106</v>
      </c>
      <c r="E1235" s="79" t="str">
        <f t="shared" ref="E1235:E1269" si="64">IF(D1235&lt;&gt;"",IF(AND(B1235&lt;&gt;"",C1235&lt;&gt;""),"","ERR"),"")</f>
        <v/>
      </c>
      <c r="F1235" s="86" t="s">
        <v>104</v>
      </c>
      <c r="G1235" s="87" t="s">
        <v>105</v>
      </c>
      <c r="H1235" s="88" t="s">
        <v>106</v>
      </c>
      <c r="I1235" s="89" t="s">
        <v>96</v>
      </c>
      <c r="J1235" s="90" t="s">
        <v>94</v>
      </c>
      <c r="K1235" s="179" t="s">
        <v>100</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Carta del presidente</v>
      </c>
      <c r="C1236" s="85" t="str" cm="1">
        <f t="array" ref="C1236">IFERROR(INDEX('03.Muestra'!$F$8:$F$42,SMALL(IF("Página Web"='03.Muestra'!$D$8:$D$42,ROW('03.Muestra'!$F$8:$F$42)-MIN(ROW('03.Muestra'!$D$8:$D$42))+1,""),ROW()-1234)),"")</f>
        <v>https://www.comunidad.madrid/tacp/carta-del-presidente</v>
      </c>
      <c r="D1236" s="99" t="s">
        <v>106</v>
      </c>
      <c r="E1236" s="79" t="str">
        <f t="shared" si="64"/>
        <v/>
      </c>
      <c r="F1236" s="91">
        <f ca="1">COUNTIF($D1235:INDIRECT("$D" &amp;  SUM(ROW()-1,'03.Muestra'!$D$45)-1),F1235)</f>
        <v>0</v>
      </c>
      <c r="G1236" s="91">
        <f ca="1">COUNTIF($D1235:INDIRECT("$D" &amp;  SUM(ROW()-1,'03.Muestra'!$D$45)-1),G1235)</f>
        <v>0</v>
      </c>
      <c r="H1236" s="91">
        <f ca="1">COUNTIF($D1235:INDIRECT("$D" &amp;  SUM(ROW()-1,'03.Muestra'!$D$45)-1),H1235)</f>
        <v>17</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Organización</v>
      </c>
      <c r="C1237" s="85" t="str" cm="1">
        <f t="array" ref="C1237">IFERROR(INDEX('03.Muestra'!$F$8:$F$42,SMALL(IF("Página Web"='03.Muestra'!$D$8:$D$42,ROW('03.Muestra'!$F$8:$F$42)-MIN(ROW('03.Muestra'!$D$8:$D$42))+1,""),ROW()-1234)),"")</f>
        <v>https://www.comunidad.madrid/tacp/el-tribunal/organización</v>
      </c>
      <c r="D1237" s="99" t="s">
        <v>106</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Acuerdos</v>
      </c>
      <c r="C1238" s="85" t="str" cm="1">
        <f t="array" ref="C1238">IFERROR(INDEX('03.Muestra'!$F$8:$F$42,SMALL(IF("Página Web"='03.Muestra'!$D$8:$D$42,ROW('03.Muestra'!$F$8:$F$42)-MIN(ROW('03.Muestra'!$D$8:$D$42))+1,""),ROW()-1234)),"")</f>
        <v>https://www.comunidad.madrid/tacp/el-tribunal/acuerdos-del-tacp</v>
      </c>
      <c r="D1238" s="99" t="s">
        <v>106</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Presentacion</v>
      </c>
      <c r="C1239" s="85" t="str" cm="1">
        <f t="array" ref="C1239">IFERROR(INDEX('03.Muestra'!$F$8:$F$42,SMALL(IF("Página Web"='03.Muestra'!$D$8:$D$42,ROW('03.Muestra'!$F$8:$F$42)-MIN(ROW('03.Muestra'!$D$8:$D$42))+1,""),ROW()-1234)),"")</f>
        <v>https://www.comunidad.madrid/tacp/el-tribunal/presentacion-electronica-e-impresos-normalizados</v>
      </c>
      <c r="D1239" s="99" t="s">
        <v>106</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Guia</v>
      </c>
      <c r="C1240" s="85" t="str" cm="1">
        <f t="array" ref="C1240">IFERROR(INDEX('03.Muestra'!$F$8:$F$42,SMALL(IF("Página Web"='03.Muestra'!$D$8:$D$42,ROW('03.Muestra'!$F$8:$F$42)-MIN(ROW('03.Muestra'!$D$8:$D$42))+1,""),ROW()-1234)),"")</f>
        <v>https://www.comunidad.madrid/tacp/el-tribunal/guia-informativa-sobre-la-regulacion-del-tribunal-de-contratacion-publica-y-los</v>
      </c>
      <c r="D1240" s="99" t="s">
        <v>106</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Preguntas</v>
      </c>
      <c r="C1241" s="85" t="str" cm="1">
        <f t="array" ref="C1241">IFERROR(INDEX('03.Muestra'!$F$8:$F$42,SMALL(IF("Página Web"='03.Muestra'!$D$8:$D$42,ROW('03.Muestra'!$F$8:$F$42)-MIN(ROW('03.Muestra'!$D$8:$D$42))+1,""),ROW()-1234)),"")</f>
        <v>https://www.comunidad.madrid/tacp/faq-page</v>
      </c>
      <c r="D1241" s="99" t="s">
        <v>106</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Histórico</v>
      </c>
      <c r="C1242" s="85" t="str" cm="1">
        <f t="array" ref="C1242">IFERROR(INDEX('03.Muestra'!$F$8:$F$42,SMALL(IF("Página Web"='03.Muestra'!$D$8:$D$42,ROW('03.Muestra'!$F$8:$F$42)-MIN(ROW('03.Muestra'!$D$8:$D$42))+1,""),ROW()-1234)),"")</f>
        <v>https://www.comunidad.madrid/tacp/el-tribunal/historico-resoluciones-de-las-reclamaciones-de-acceso-informacion-publica</v>
      </c>
      <c r="D1242" s="99" t="s">
        <v>106</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Estudios</v>
      </c>
      <c r="C1243" s="85" t="str" cm="1">
        <f t="array" ref="C1243">IFERROR(INDEX('03.Muestra'!$F$8:$F$42,SMALL(IF("Página Web"='03.Muestra'!$D$8:$D$42,ROW('03.Muestra'!$F$8:$F$42)-MIN(ROW('03.Muestra'!$D$8:$D$42))+1,""),ROW()-1234)),"")</f>
        <v>https://www.comunidad.madrid/tacp/estudios</v>
      </c>
      <c r="D1243" s="99" t="s">
        <v>106</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Memorias</v>
      </c>
      <c r="C1244" s="85" t="str" cm="1">
        <f t="array" ref="C1244">IFERROR(INDEX('03.Muestra'!$F$8:$F$42,SMALL(IF("Página Web"='03.Muestra'!$D$8:$D$42,ROW('03.Muestra'!$F$8:$F$42)-MIN(ROW('03.Muestra'!$D$8:$D$42))+1,""),ROW()-1234)),"")</f>
        <v>https://www.comunidad.madrid/tacp/memorias</v>
      </c>
      <c r="D1244" s="99" t="s">
        <v>106</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Busqueda Resol</v>
      </c>
      <c r="C1245" s="85" t="str" cm="1">
        <f t="array" ref="C1245">IFERROR(INDEX('03.Muestra'!$F$8:$F$42,SMALL(IF("Página Web"='03.Muestra'!$D$8:$D$42,ROW('03.Muestra'!$F$8:$F$42)-MIN(ROW('03.Muestra'!$D$8:$D$42))+1,""),ROW()-1234)),"")</f>
        <v>https://www.comunidad.madrid/tacp/busquedaresoluciones</v>
      </c>
      <c r="D1245" s="99" t="s">
        <v>106</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Novedades</v>
      </c>
      <c r="C1246" s="85" t="str" cm="1">
        <f t="array" ref="C1246">IFERROR(INDEX('03.Muestra'!$F$8:$F$42,SMALL(IF("Página Web"='03.Muestra'!$D$8:$D$42,ROW('03.Muestra'!$F$8:$F$42)-MIN(ROW('03.Muestra'!$D$8:$D$42))+1,""),ROW()-1234)),"")</f>
        <v>https://www.comunidad.madrid/tacp/noticias</v>
      </c>
      <c r="D1246" s="99" t="s">
        <v>106</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Recursos especiales</v>
      </c>
      <c r="C1247" s="85" t="str" cm="1">
        <f t="array" ref="C1247">IFERROR(INDEX('03.Muestra'!$F$8:$F$42,SMALL(IF("Página Web"='03.Muestra'!$D$8:$D$42,ROW('03.Muestra'!$F$8:$F$42)-MIN(ROW('03.Muestra'!$D$8:$D$42))+1,""),ROW()-1234)),"")</f>
        <v>https://www.comunidad.madrid/tacp/novedades/publicacion-recursos-especiales-en-perfil-contratante</v>
      </c>
      <c r="D1247" s="99" t="s">
        <v>106</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Normativa</v>
      </c>
      <c r="C1248" s="85" t="str" cm="1">
        <f t="array" ref="C1248">IFERROR(INDEX('03.Muestra'!$F$8:$F$42,SMALL(IF("Página Web"='03.Muestra'!$D$8:$D$42,ROW('03.Muestra'!$F$8:$F$42)-MIN(ROW('03.Muestra'!$D$8:$D$42))+1,""),ROW()-1234)),"")</f>
        <v>https://www.comunidad.madrid/es/tacp/normativa</v>
      </c>
      <c r="D1248" s="99" t="s">
        <v>106</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Organos Competentes</v>
      </c>
      <c r="C1249" s="85" t="str" cm="1">
        <f t="array" ref="C1249">IFERROR(INDEX('03.Muestra'!$F$8:$F$42,SMALL(IF("Página Web"='03.Muestra'!$D$8:$D$42,ROW('03.Muestra'!$F$8:$F$42)-MIN(ROW('03.Muestra'!$D$8:$D$42))+1,""),ROW()-1234)),"")</f>
        <v>https://www.comunidad.madrid/es/tacp/otros-organos-competentes</v>
      </c>
      <c r="D1249" s="99" t="s">
        <v>106</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Contacto</v>
      </c>
      <c r="C1250" s="85" t="str" cm="1">
        <f t="array" ref="C1250">IFERROR(INDEX('03.Muestra'!$F$8:$F$42,SMALL(IF("Página Web"='03.Muestra'!$D$8:$D$42,ROW('03.Muestra'!$F$8:$F$42)-MIN(ROW('03.Muestra'!$D$8:$D$42))+1,""),ROW()-1234)),"")</f>
        <v>https://www.comunidad.madrid/es/tacp/contact</v>
      </c>
      <c r="D1250" s="99" t="s">
        <v>106</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Accesibilidad</v>
      </c>
      <c r="C1251" s="85" t="str" cm="1">
        <f t="array" ref="C1251">IFERROR(INDEX('03.Muestra'!$F$8:$F$42,SMALL(IF("Página Web"='03.Muestra'!$D$8:$D$42,ROW('03.Muestra'!$F$8:$F$42)-MIN(ROW('03.Muestra'!$D$8:$D$42))+1,""),ROW()-1234)),"")</f>
        <v>https://www.comunidad.madrid/es/tacp/accesibilidad</v>
      </c>
      <c r="D1251" s="99" t="s">
        <v>106</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ref="D1252:D1269" si="65">IF(AND(B1252&lt;&gt;"",C1252&lt;&gt;""),"N/T","")</f>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101</v>
      </c>
      <c r="B1272" s="23" t="s">
        <v>93</v>
      </c>
      <c r="C1272" s="24" t="s">
        <v>177</v>
      </c>
      <c r="D1272" s="25" t="s">
        <v>103</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https://www.comunidad.madrid/tacp/</v>
      </c>
      <c r="D1273" s="99" t="s">
        <v>106</v>
      </c>
      <c r="E1273" s="79" t="str">
        <f t="shared" ref="E1273:E1307" si="66">IF(D1273&lt;&gt;"",IF(AND(B1273&lt;&gt;"",C1273&lt;&gt;""),"","ERR"),"")</f>
        <v/>
      </c>
      <c r="F1273" s="86" t="s">
        <v>104</v>
      </c>
      <c r="G1273" s="87" t="s">
        <v>105</v>
      </c>
      <c r="H1273" s="88" t="s">
        <v>106</v>
      </c>
      <c r="I1273" s="89" t="s">
        <v>96</v>
      </c>
      <c r="J1273" s="90" t="s">
        <v>94</v>
      </c>
      <c r="K1273" s="179" t="s">
        <v>100</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Carta del presidente</v>
      </c>
      <c r="C1274" s="85" t="str" cm="1">
        <f t="array" ref="C1274">IFERROR(INDEX('03.Muestra'!$F$8:$F$42,SMALL(IF("Página Web"='03.Muestra'!$D$8:$D$42,ROW('03.Muestra'!$F$8:$F$42)-MIN(ROW('03.Muestra'!$D$8:$D$42))+1,""),ROW()-1272)),"")</f>
        <v>https://www.comunidad.madrid/tacp/carta-del-presidente</v>
      </c>
      <c r="D1274" s="99" t="s">
        <v>106</v>
      </c>
      <c r="E1274" s="79" t="str">
        <f t="shared" si="66"/>
        <v/>
      </c>
      <c r="F1274" s="91">
        <f ca="1">COUNTIF($D1273:INDIRECT("$D" &amp;  SUM(ROW()-1,'03.Muestra'!$D$45)-1),F1273)</f>
        <v>0</v>
      </c>
      <c r="G1274" s="91">
        <f ca="1">COUNTIF($D1273:INDIRECT("$D" &amp;  SUM(ROW()-1,'03.Muestra'!$D$45)-1),G1273)</f>
        <v>0</v>
      </c>
      <c r="H1274" s="91">
        <f ca="1">COUNTIF($D1273:INDIRECT("$D" &amp;  SUM(ROW()-1,'03.Muestra'!$D$45)-1),H1273)</f>
        <v>17</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Organización</v>
      </c>
      <c r="C1275" s="85" t="str" cm="1">
        <f t="array" ref="C1275">IFERROR(INDEX('03.Muestra'!$F$8:$F$42,SMALL(IF("Página Web"='03.Muestra'!$D$8:$D$42,ROW('03.Muestra'!$F$8:$F$42)-MIN(ROW('03.Muestra'!$D$8:$D$42))+1,""),ROW()-1272)),"")</f>
        <v>https://www.comunidad.madrid/tacp/el-tribunal/organización</v>
      </c>
      <c r="D1275" s="99" t="s">
        <v>106</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Acuerdos</v>
      </c>
      <c r="C1276" s="85" t="str" cm="1">
        <f t="array" ref="C1276">IFERROR(INDEX('03.Muestra'!$F$8:$F$42,SMALL(IF("Página Web"='03.Muestra'!$D$8:$D$42,ROW('03.Muestra'!$F$8:$F$42)-MIN(ROW('03.Muestra'!$D$8:$D$42))+1,""),ROW()-1272)),"")</f>
        <v>https://www.comunidad.madrid/tacp/el-tribunal/acuerdos-del-tacp</v>
      </c>
      <c r="D1276" s="99" t="s">
        <v>106</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Presentacion</v>
      </c>
      <c r="C1277" s="85" t="str" cm="1">
        <f t="array" ref="C1277">IFERROR(INDEX('03.Muestra'!$F$8:$F$42,SMALL(IF("Página Web"='03.Muestra'!$D$8:$D$42,ROW('03.Muestra'!$F$8:$F$42)-MIN(ROW('03.Muestra'!$D$8:$D$42))+1,""),ROW()-1272)),"")</f>
        <v>https://www.comunidad.madrid/tacp/el-tribunal/presentacion-electronica-e-impresos-normalizados</v>
      </c>
      <c r="D1277" s="99" t="s">
        <v>106</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Guia</v>
      </c>
      <c r="C1278" s="85" t="str" cm="1">
        <f t="array" ref="C1278">IFERROR(INDEX('03.Muestra'!$F$8:$F$42,SMALL(IF("Página Web"='03.Muestra'!$D$8:$D$42,ROW('03.Muestra'!$F$8:$F$42)-MIN(ROW('03.Muestra'!$D$8:$D$42))+1,""),ROW()-1272)),"")</f>
        <v>https://www.comunidad.madrid/tacp/el-tribunal/guia-informativa-sobre-la-regulacion-del-tribunal-de-contratacion-publica-y-los</v>
      </c>
      <c r="D1278" s="99" t="s">
        <v>106</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Preguntas</v>
      </c>
      <c r="C1279" s="85" t="str" cm="1">
        <f t="array" ref="C1279">IFERROR(INDEX('03.Muestra'!$F$8:$F$42,SMALL(IF("Página Web"='03.Muestra'!$D$8:$D$42,ROW('03.Muestra'!$F$8:$F$42)-MIN(ROW('03.Muestra'!$D$8:$D$42))+1,""),ROW()-1272)),"")</f>
        <v>https://www.comunidad.madrid/tacp/faq-page</v>
      </c>
      <c r="D1279" s="99" t="s">
        <v>106</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Histórico</v>
      </c>
      <c r="C1280" s="85" t="str" cm="1">
        <f t="array" ref="C1280">IFERROR(INDEX('03.Muestra'!$F$8:$F$42,SMALL(IF("Página Web"='03.Muestra'!$D$8:$D$42,ROW('03.Muestra'!$F$8:$F$42)-MIN(ROW('03.Muestra'!$D$8:$D$42))+1,""),ROW()-1272)),"")</f>
        <v>https://www.comunidad.madrid/tacp/el-tribunal/historico-resoluciones-de-las-reclamaciones-de-acceso-informacion-publica</v>
      </c>
      <c r="D1280" s="99" t="s">
        <v>106</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Estudios</v>
      </c>
      <c r="C1281" s="85" t="str" cm="1">
        <f t="array" ref="C1281">IFERROR(INDEX('03.Muestra'!$F$8:$F$42,SMALL(IF("Página Web"='03.Muestra'!$D$8:$D$42,ROW('03.Muestra'!$F$8:$F$42)-MIN(ROW('03.Muestra'!$D$8:$D$42))+1,""),ROW()-1272)),"")</f>
        <v>https://www.comunidad.madrid/tacp/estudios</v>
      </c>
      <c r="D1281" s="99" t="s">
        <v>106</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Memorias</v>
      </c>
      <c r="C1282" s="85" t="str" cm="1">
        <f t="array" ref="C1282">IFERROR(INDEX('03.Muestra'!$F$8:$F$42,SMALL(IF("Página Web"='03.Muestra'!$D$8:$D$42,ROW('03.Muestra'!$F$8:$F$42)-MIN(ROW('03.Muestra'!$D$8:$D$42))+1,""),ROW()-1272)),"")</f>
        <v>https://www.comunidad.madrid/tacp/memorias</v>
      </c>
      <c r="D1282" s="99" t="s">
        <v>106</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Busqueda Resol</v>
      </c>
      <c r="C1283" s="85" t="str" cm="1">
        <f t="array" ref="C1283">IFERROR(INDEX('03.Muestra'!$F$8:$F$42,SMALL(IF("Página Web"='03.Muestra'!$D$8:$D$42,ROW('03.Muestra'!$F$8:$F$42)-MIN(ROW('03.Muestra'!$D$8:$D$42))+1,""),ROW()-1272)),"")</f>
        <v>https://www.comunidad.madrid/tacp/busquedaresoluciones</v>
      </c>
      <c r="D1283" s="99" t="s">
        <v>106</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Novedades</v>
      </c>
      <c r="C1284" s="85" t="str" cm="1">
        <f t="array" ref="C1284">IFERROR(INDEX('03.Muestra'!$F$8:$F$42,SMALL(IF("Página Web"='03.Muestra'!$D$8:$D$42,ROW('03.Muestra'!$F$8:$F$42)-MIN(ROW('03.Muestra'!$D$8:$D$42))+1,""),ROW()-1272)),"")</f>
        <v>https://www.comunidad.madrid/tacp/noticias</v>
      </c>
      <c r="D1284" s="99" t="s">
        <v>106</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Recursos especiales</v>
      </c>
      <c r="C1285" s="85" t="str" cm="1">
        <f t="array" ref="C1285">IFERROR(INDEX('03.Muestra'!$F$8:$F$42,SMALL(IF("Página Web"='03.Muestra'!$D$8:$D$42,ROW('03.Muestra'!$F$8:$F$42)-MIN(ROW('03.Muestra'!$D$8:$D$42))+1,""),ROW()-1272)),"")</f>
        <v>https://www.comunidad.madrid/tacp/novedades/publicacion-recursos-especiales-en-perfil-contratante</v>
      </c>
      <c r="D1285" s="99" t="s">
        <v>106</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Normativa</v>
      </c>
      <c r="C1286" s="85" t="str" cm="1">
        <f t="array" ref="C1286">IFERROR(INDEX('03.Muestra'!$F$8:$F$42,SMALL(IF("Página Web"='03.Muestra'!$D$8:$D$42,ROW('03.Muestra'!$F$8:$F$42)-MIN(ROW('03.Muestra'!$D$8:$D$42))+1,""),ROW()-1272)),"")</f>
        <v>https://www.comunidad.madrid/es/tacp/normativa</v>
      </c>
      <c r="D1286" s="99" t="s">
        <v>106</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Organos Competentes</v>
      </c>
      <c r="C1287" s="85" t="str" cm="1">
        <f t="array" ref="C1287">IFERROR(INDEX('03.Muestra'!$F$8:$F$42,SMALL(IF("Página Web"='03.Muestra'!$D$8:$D$42,ROW('03.Muestra'!$F$8:$F$42)-MIN(ROW('03.Muestra'!$D$8:$D$42))+1,""),ROW()-1272)),"")</f>
        <v>https://www.comunidad.madrid/es/tacp/otros-organos-competentes</v>
      </c>
      <c r="D1287" s="99" t="s">
        <v>106</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Contacto</v>
      </c>
      <c r="C1288" s="85" t="str" cm="1">
        <f t="array" ref="C1288">IFERROR(INDEX('03.Muestra'!$F$8:$F$42,SMALL(IF("Página Web"='03.Muestra'!$D$8:$D$42,ROW('03.Muestra'!$F$8:$F$42)-MIN(ROW('03.Muestra'!$D$8:$D$42))+1,""),ROW()-1272)),"")</f>
        <v>https://www.comunidad.madrid/es/tacp/contact</v>
      </c>
      <c r="D1288" s="99" t="s">
        <v>106</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Accesibilidad</v>
      </c>
      <c r="C1289" s="85" t="str" cm="1">
        <f t="array" ref="C1289">IFERROR(INDEX('03.Muestra'!$F$8:$F$42,SMALL(IF("Página Web"='03.Muestra'!$D$8:$D$42,ROW('03.Muestra'!$F$8:$F$42)-MIN(ROW('03.Muestra'!$D$8:$D$42))+1,""),ROW()-1272)),"")</f>
        <v>https://www.comunidad.madrid/es/tacp/accesibilidad</v>
      </c>
      <c r="D1289" s="99" t="s">
        <v>106</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ref="D1290:D1307" si="67">IF(AND(B1290&lt;&gt;"",C1290&lt;&gt;""),"N/T","")</f>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101</v>
      </c>
      <c r="B1310" s="23" t="s">
        <v>93</v>
      </c>
      <c r="C1310" s="24" t="s">
        <v>178</v>
      </c>
      <c r="D1310" s="25" t="s">
        <v>103</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https://www.comunidad.madrid/tacp/</v>
      </c>
      <c r="D1311" s="99" t="s">
        <v>94</v>
      </c>
      <c r="E1311" s="79" t="str">
        <f t="shared" ref="E1311:E1345" si="68">IF(D1311&lt;&gt;"",IF(AND(B1311&lt;&gt;"",C1311&lt;&gt;""),"","ERR"),"")</f>
        <v/>
      </c>
      <c r="F1311" s="86" t="s">
        <v>104</v>
      </c>
      <c r="G1311" s="87" t="s">
        <v>105</v>
      </c>
      <c r="H1311" s="88" t="s">
        <v>106</v>
      </c>
      <c r="I1311" s="89" t="s">
        <v>96</v>
      </c>
      <c r="J1311" s="90" t="s">
        <v>94</v>
      </c>
      <c r="K1311" s="179" t="s">
        <v>100</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Carta del presidente</v>
      </c>
      <c r="C1312" s="85" t="str" cm="1">
        <f t="array" ref="C1312">IFERROR(INDEX('03.Muestra'!$F$8:$F$42,SMALL(IF("Página Web"='03.Muestra'!$D$8:$D$42,ROW('03.Muestra'!$F$8:$F$42)-MIN(ROW('03.Muestra'!$D$8:$D$42))+1,""),ROW()-1310)),"")</f>
        <v>https://www.comunidad.madrid/tacp/carta-del-presidente</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17</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Organización</v>
      </c>
      <c r="C1313" s="85" t="str" cm="1">
        <f t="array" ref="C1313">IFERROR(INDEX('03.Muestra'!$F$8:$F$42,SMALL(IF("Página Web"='03.Muestra'!$D$8:$D$42,ROW('03.Muestra'!$F$8:$F$42)-MIN(ROW('03.Muestra'!$D$8:$D$42))+1,""),ROW()-1310)),"")</f>
        <v>https://www.comunidad.madrid/tacp/el-tribunal/organización</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Acuerdos</v>
      </c>
      <c r="C1314" s="85" t="str" cm="1">
        <f t="array" ref="C1314">IFERROR(INDEX('03.Muestra'!$F$8:$F$42,SMALL(IF("Página Web"='03.Muestra'!$D$8:$D$42,ROW('03.Muestra'!$F$8:$F$42)-MIN(ROW('03.Muestra'!$D$8:$D$42))+1,""),ROW()-1310)),"")</f>
        <v>https://www.comunidad.madrid/tacp/el-tribunal/acuerdos-del-tacp</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Presentacion</v>
      </c>
      <c r="C1315" s="85" t="str" cm="1">
        <f t="array" ref="C1315">IFERROR(INDEX('03.Muestra'!$F$8:$F$42,SMALL(IF("Página Web"='03.Muestra'!$D$8:$D$42,ROW('03.Muestra'!$F$8:$F$42)-MIN(ROW('03.Muestra'!$D$8:$D$42))+1,""),ROW()-1310)),"")</f>
        <v>https://www.comunidad.madrid/tacp/el-tribunal/presentacion-electronica-e-impresos-normalizados</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Guia</v>
      </c>
      <c r="C1316" s="85" t="str" cm="1">
        <f t="array" ref="C1316">IFERROR(INDEX('03.Muestra'!$F$8:$F$42,SMALL(IF("Página Web"='03.Muestra'!$D$8:$D$42,ROW('03.Muestra'!$F$8:$F$42)-MIN(ROW('03.Muestra'!$D$8:$D$42))+1,""),ROW()-1310)),"")</f>
        <v>https://www.comunidad.madrid/tacp/el-tribunal/guia-informativa-sobre-la-regulacion-del-tribunal-de-contratacion-publica-y-los</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Preguntas</v>
      </c>
      <c r="C1317" s="85" t="str" cm="1">
        <f t="array" ref="C1317">IFERROR(INDEX('03.Muestra'!$F$8:$F$42,SMALL(IF("Página Web"='03.Muestra'!$D$8:$D$42,ROW('03.Muestra'!$F$8:$F$42)-MIN(ROW('03.Muestra'!$D$8:$D$42))+1,""),ROW()-1310)),"")</f>
        <v>https://www.comunidad.madrid/tacp/faq-page</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Histórico</v>
      </c>
      <c r="C1318" s="85" t="str" cm="1">
        <f t="array" ref="C1318">IFERROR(INDEX('03.Muestra'!$F$8:$F$42,SMALL(IF("Página Web"='03.Muestra'!$D$8:$D$42,ROW('03.Muestra'!$F$8:$F$42)-MIN(ROW('03.Muestra'!$D$8:$D$42))+1,""),ROW()-1310)),"")</f>
        <v>https://www.comunidad.madrid/tacp/el-tribunal/historico-resoluciones-de-las-reclamaciones-de-acceso-informacion-publica</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Estudios</v>
      </c>
      <c r="C1319" s="85" t="str" cm="1">
        <f t="array" ref="C1319">IFERROR(INDEX('03.Muestra'!$F$8:$F$42,SMALL(IF("Página Web"='03.Muestra'!$D$8:$D$42,ROW('03.Muestra'!$F$8:$F$42)-MIN(ROW('03.Muestra'!$D$8:$D$42))+1,""),ROW()-1310)),"")</f>
        <v>https://www.comunidad.madrid/tacp/estudios</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Memorias</v>
      </c>
      <c r="C1320" s="85" t="str" cm="1">
        <f t="array" ref="C1320">IFERROR(INDEX('03.Muestra'!$F$8:$F$42,SMALL(IF("Página Web"='03.Muestra'!$D$8:$D$42,ROW('03.Muestra'!$F$8:$F$42)-MIN(ROW('03.Muestra'!$D$8:$D$42))+1,""),ROW()-1310)),"")</f>
        <v>https://www.comunidad.madrid/tacp/memorias</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Busqueda Resol</v>
      </c>
      <c r="C1321" s="85" t="str" cm="1">
        <f t="array" ref="C1321">IFERROR(INDEX('03.Muestra'!$F$8:$F$42,SMALL(IF("Página Web"='03.Muestra'!$D$8:$D$42,ROW('03.Muestra'!$F$8:$F$42)-MIN(ROW('03.Muestra'!$D$8:$D$42))+1,""),ROW()-1310)),"")</f>
        <v>https://www.comunidad.madrid/tacp/busquedaresoluciones</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Novedades</v>
      </c>
      <c r="C1322" s="85" t="str" cm="1">
        <f t="array" ref="C1322">IFERROR(INDEX('03.Muestra'!$F$8:$F$42,SMALL(IF("Página Web"='03.Muestra'!$D$8:$D$42,ROW('03.Muestra'!$F$8:$F$42)-MIN(ROW('03.Muestra'!$D$8:$D$42))+1,""),ROW()-1310)),"")</f>
        <v>https://www.comunidad.madrid/tacp/noticias</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Recursos especiales</v>
      </c>
      <c r="C1323" s="85" t="str" cm="1">
        <f t="array" ref="C1323">IFERROR(INDEX('03.Muestra'!$F$8:$F$42,SMALL(IF("Página Web"='03.Muestra'!$D$8:$D$42,ROW('03.Muestra'!$F$8:$F$42)-MIN(ROW('03.Muestra'!$D$8:$D$42))+1,""),ROW()-1310)),"")</f>
        <v>https://www.comunidad.madrid/tacp/novedades/publicacion-recursos-especiales-en-perfil-contratante</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Normativa</v>
      </c>
      <c r="C1324" s="85" t="str" cm="1">
        <f t="array" ref="C1324">IFERROR(INDEX('03.Muestra'!$F$8:$F$42,SMALL(IF("Página Web"='03.Muestra'!$D$8:$D$42,ROW('03.Muestra'!$F$8:$F$42)-MIN(ROW('03.Muestra'!$D$8:$D$42))+1,""),ROW()-1310)),"")</f>
        <v>https://www.comunidad.madrid/es/tacp/normativa</v>
      </c>
      <c r="D1324" s="99" t="s">
        <v>94</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Organos Competentes</v>
      </c>
      <c r="C1325" s="85" t="str" cm="1">
        <f t="array" ref="C1325">IFERROR(INDEX('03.Muestra'!$F$8:$F$42,SMALL(IF("Página Web"='03.Muestra'!$D$8:$D$42,ROW('03.Muestra'!$F$8:$F$42)-MIN(ROW('03.Muestra'!$D$8:$D$42))+1,""),ROW()-1310)),"")</f>
        <v>https://www.comunidad.madrid/es/tacp/otros-organos-competentes</v>
      </c>
      <c r="D1325" s="99" t="s">
        <v>94</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Contacto</v>
      </c>
      <c r="C1326" s="85" t="str" cm="1">
        <f t="array" ref="C1326">IFERROR(INDEX('03.Muestra'!$F$8:$F$42,SMALL(IF("Página Web"='03.Muestra'!$D$8:$D$42,ROW('03.Muestra'!$F$8:$F$42)-MIN(ROW('03.Muestra'!$D$8:$D$42))+1,""),ROW()-1310)),"")</f>
        <v>https://www.comunidad.madrid/es/tacp/contact</v>
      </c>
      <c r="D1326" s="99" t="s">
        <v>94</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Accesibilidad</v>
      </c>
      <c r="C1327" s="85" t="str" cm="1">
        <f t="array" ref="C1327">IFERROR(INDEX('03.Muestra'!$F$8:$F$42,SMALL(IF("Página Web"='03.Muestra'!$D$8:$D$42,ROW('03.Muestra'!$F$8:$F$42)-MIN(ROW('03.Muestra'!$D$8:$D$42))+1,""),ROW()-1310)),"")</f>
        <v>https://www.comunidad.madrid/es/tacp/accesibilidad</v>
      </c>
      <c r="D1327" s="99" t="s">
        <v>94</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ref="D1328:D1345" si="69">IF(AND(B1328&lt;&gt;"",C1328&lt;&gt;""),"N/T","")</f>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101</v>
      </c>
      <c r="B1348" s="23" t="s">
        <v>93</v>
      </c>
      <c r="C1348" s="24" t="s">
        <v>179</v>
      </c>
      <c r="D1348" s="25" t="s">
        <v>103</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https://www.comunidad.madrid/tacp/</v>
      </c>
      <c r="D1349" s="99" t="s">
        <v>106</v>
      </c>
      <c r="E1349" s="79" t="str">
        <f t="shared" ref="E1349:E1383" si="70">IF(D1349&lt;&gt;"",IF(AND(B1349&lt;&gt;"",C1349&lt;&gt;""),"","ERR"),"")</f>
        <v/>
      </c>
      <c r="F1349" s="86" t="s">
        <v>104</v>
      </c>
      <c r="G1349" s="87" t="s">
        <v>105</v>
      </c>
      <c r="H1349" s="88" t="s">
        <v>106</v>
      </c>
      <c r="I1349" s="89" t="s">
        <v>96</v>
      </c>
      <c r="J1349" s="90" t="s">
        <v>94</v>
      </c>
      <c r="K1349" s="179" t="s">
        <v>100</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Carta del presidente</v>
      </c>
      <c r="C1350" s="85" t="str" cm="1">
        <f t="array" ref="C1350">IFERROR(INDEX('03.Muestra'!$F$8:$F$42,SMALL(IF("Página Web"='03.Muestra'!$D$8:$D$42,ROW('03.Muestra'!$F$8:$F$42)-MIN(ROW('03.Muestra'!$D$8:$D$42))+1,""),ROW()-1348)),"")</f>
        <v>https://www.comunidad.madrid/tacp/carta-del-presidente</v>
      </c>
      <c r="D1350" s="99" t="s">
        <v>106</v>
      </c>
      <c r="E1350" s="79" t="str">
        <f t="shared" si="70"/>
        <v/>
      </c>
      <c r="F1350" s="91">
        <f ca="1">COUNTIF($D1349:INDIRECT("$D" &amp;  SUM(ROW()-1,'03.Muestra'!$D$45)-1),F1349)</f>
        <v>0</v>
      </c>
      <c r="G1350" s="91">
        <f ca="1">COUNTIF($D1349:INDIRECT("$D" &amp;  SUM(ROW()-1,'03.Muestra'!$D$45)-1),G1349)</f>
        <v>0</v>
      </c>
      <c r="H1350" s="91">
        <f ca="1">COUNTIF($D1349:INDIRECT("$D" &amp;  SUM(ROW()-1,'03.Muestra'!$D$45)-1),H1349)</f>
        <v>17</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Organización</v>
      </c>
      <c r="C1351" s="85" t="str" cm="1">
        <f t="array" ref="C1351">IFERROR(INDEX('03.Muestra'!$F$8:$F$42,SMALL(IF("Página Web"='03.Muestra'!$D$8:$D$42,ROW('03.Muestra'!$F$8:$F$42)-MIN(ROW('03.Muestra'!$D$8:$D$42))+1,""),ROW()-1348)),"")</f>
        <v>https://www.comunidad.madrid/tacp/el-tribunal/organización</v>
      </c>
      <c r="D1351" s="99" t="s">
        <v>106</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Acuerdos</v>
      </c>
      <c r="C1352" s="85" t="str" cm="1">
        <f t="array" ref="C1352">IFERROR(INDEX('03.Muestra'!$F$8:$F$42,SMALL(IF("Página Web"='03.Muestra'!$D$8:$D$42,ROW('03.Muestra'!$F$8:$F$42)-MIN(ROW('03.Muestra'!$D$8:$D$42))+1,""),ROW()-1348)),"")</f>
        <v>https://www.comunidad.madrid/tacp/el-tribunal/acuerdos-del-tacp</v>
      </c>
      <c r="D1352" s="99" t="s">
        <v>106</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Presentacion</v>
      </c>
      <c r="C1353" s="85" t="str" cm="1">
        <f t="array" ref="C1353">IFERROR(INDEX('03.Muestra'!$F$8:$F$42,SMALL(IF("Página Web"='03.Muestra'!$D$8:$D$42,ROW('03.Muestra'!$F$8:$F$42)-MIN(ROW('03.Muestra'!$D$8:$D$42))+1,""),ROW()-1348)),"")</f>
        <v>https://www.comunidad.madrid/tacp/el-tribunal/presentacion-electronica-e-impresos-normalizados</v>
      </c>
      <c r="D1353" s="99" t="s">
        <v>106</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Guia</v>
      </c>
      <c r="C1354" s="85" t="str" cm="1">
        <f t="array" ref="C1354">IFERROR(INDEX('03.Muestra'!$F$8:$F$42,SMALL(IF("Página Web"='03.Muestra'!$D$8:$D$42,ROW('03.Muestra'!$F$8:$F$42)-MIN(ROW('03.Muestra'!$D$8:$D$42))+1,""),ROW()-1348)),"")</f>
        <v>https://www.comunidad.madrid/tacp/el-tribunal/guia-informativa-sobre-la-regulacion-del-tribunal-de-contratacion-publica-y-los</v>
      </c>
      <c r="D1354" s="99" t="s">
        <v>106</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Preguntas</v>
      </c>
      <c r="C1355" s="85" t="str" cm="1">
        <f t="array" ref="C1355">IFERROR(INDEX('03.Muestra'!$F$8:$F$42,SMALL(IF("Página Web"='03.Muestra'!$D$8:$D$42,ROW('03.Muestra'!$F$8:$F$42)-MIN(ROW('03.Muestra'!$D$8:$D$42))+1,""),ROW()-1348)),"")</f>
        <v>https://www.comunidad.madrid/tacp/faq-page</v>
      </c>
      <c r="D1355" s="99" t="s">
        <v>106</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Histórico</v>
      </c>
      <c r="C1356" s="85" t="str" cm="1">
        <f t="array" ref="C1356">IFERROR(INDEX('03.Muestra'!$F$8:$F$42,SMALL(IF("Página Web"='03.Muestra'!$D$8:$D$42,ROW('03.Muestra'!$F$8:$F$42)-MIN(ROW('03.Muestra'!$D$8:$D$42))+1,""),ROW()-1348)),"")</f>
        <v>https://www.comunidad.madrid/tacp/el-tribunal/historico-resoluciones-de-las-reclamaciones-de-acceso-informacion-publica</v>
      </c>
      <c r="D1356" s="99" t="s">
        <v>106</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Estudios</v>
      </c>
      <c r="C1357" s="85" t="str" cm="1">
        <f t="array" ref="C1357">IFERROR(INDEX('03.Muestra'!$F$8:$F$42,SMALL(IF("Página Web"='03.Muestra'!$D$8:$D$42,ROW('03.Muestra'!$F$8:$F$42)-MIN(ROW('03.Muestra'!$D$8:$D$42))+1,""),ROW()-1348)),"")</f>
        <v>https://www.comunidad.madrid/tacp/estudios</v>
      </c>
      <c r="D1357" s="99" t="s">
        <v>106</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Memorias</v>
      </c>
      <c r="C1358" s="85" t="str" cm="1">
        <f t="array" ref="C1358">IFERROR(INDEX('03.Muestra'!$F$8:$F$42,SMALL(IF("Página Web"='03.Muestra'!$D$8:$D$42,ROW('03.Muestra'!$F$8:$F$42)-MIN(ROW('03.Muestra'!$D$8:$D$42))+1,""),ROW()-1348)),"")</f>
        <v>https://www.comunidad.madrid/tacp/memorias</v>
      </c>
      <c r="D1358" s="99" t="s">
        <v>106</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Busqueda Resol</v>
      </c>
      <c r="C1359" s="85" t="str" cm="1">
        <f t="array" ref="C1359">IFERROR(INDEX('03.Muestra'!$F$8:$F$42,SMALL(IF("Página Web"='03.Muestra'!$D$8:$D$42,ROW('03.Muestra'!$F$8:$F$42)-MIN(ROW('03.Muestra'!$D$8:$D$42))+1,""),ROW()-1348)),"")</f>
        <v>https://www.comunidad.madrid/tacp/busquedaresoluciones</v>
      </c>
      <c r="D1359" s="99" t="s">
        <v>106</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Novedades</v>
      </c>
      <c r="C1360" s="85" t="str" cm="1">
        <f t="array" ref="C1360">IFERROR(INDEX('03.Muestra'!$F$8:$F$42,SMALL(IF("Página Web"='03.Muestra'!$D$8:$D$42,ROW('03.Muestra'!$F$8:$F$42)-MIN(ROW('03.Muestra'!$D$8:$D$42))+1,""),ROW()-1348)),"")</f>
        <v>https://www.comunidad.madrid/tacp/noticias</v>
      </c>
      <c r="D1360" s="99" t="s">
        <v>106</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Recursos especiales</v>
      </c>
      <c r="C1361" s="85" t="str" cm="1">
        <f t="array" ref="C1361">IFERROR(INDEX('03.Muestra'!$F$8:$F$42,SMALL(IF("Página Web"='03.Muestra'!$D$8:$D$42,ROW('03.Muestra'!$F$8:$F$42)-MIN(ROW('03.Muestra'!$D$8:$D$42))+1,""),ROW()-1348)),"")</f>
        <v>https://www.comunidad.madrid/tacp/novedades/publicacion-recursos-especiales-en-perfil-contratante</v>
      </c>
      <c r="D1361" s="99" t="s">
        <v>106</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Normativa</v>
      </c>
      <c r="C1362" s="85" t="str" cm="1">
        <f t="array" ref="C1362">IFERROR(INDEX('03.Muestra'!$F$8:$F$42,SMALL(IF("Página Web"='03.Muestra'!$D$8:$D$42,ROW('03.Muestra'!$F$8:$F$42)-MIN(ROW('03.Muestra'!$D$8:$D$42))+1,""),ROW()-1348)),"")</f>
        <v>https://www.comunidad.madrid/es/tacp/normativa</v>
      </c>
      <c r="D1362" s="99" t="s">
        <v>106</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Organos Competentes</v>
      </c>
      <c r="C1363" s="85" t="str" cm="1">
        <f t="array" ref="C1363">IFERROR(INDEX('03.Muestra'!$F$8:$F$42,SMALL(IF("Página Web"='03.Muestra'!$D$8:$D$42,ROW('03.Muestra'!$F$8:$F$42)-MIN(ROW('03.Muestra'!$D$8:$D$42))+1,""),ROW()-1348)),"")</f>
        <v>https://www.comunidad.madrid/es/tacp/otros-organos-competentes</v>
      </c>
      <c r="D1363" s="99" t="s">
        <v>106</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Contacto</v>
      </c>
      <c r="C1364" s="85" t="str" cm="1">
        <f t="array" ref="C1364">IFERROR(INDEX('03.Muestra'!$F$8:$F$42,SMALL(IF("Página Web"='03.Muestra'!$D$8:$D$42,ROW('03.Muestra'!$F$8:$F$42)-MIN(ROW('03.Muestra'!$D$8:$D$42))+1,""),ROW()-1348)),"")</f>
        <v>https://www.comunidad.madrid/es/tacp/contact</v>
      </c>
      <c r="D1364" s="99" t="s">
        <v>106</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Accesibilidad</v>
      </c>
      <c r="C1365" s="85" t="str" cm="1">
        <f t="array" ref="C1365">IFERROR(INDEX('03.Muestra'!$F$8:$F$42,SMALL(IF("Página Web"='03.Muestra'!$D$8:$D$42,ROW('03.Muestra'!$F$8:$F$42)-MIN(ROW('03.Muestra'!$D$8:$D$42))+1,""),ROW()-1348)),"")</f>
        <v>https://www.comunidad.madrid/es/tacp/accesibilidad</v>
      </c>
      <c r="D1365" s="99" t="s">
        <v>106</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ref="D1366:D1383" si="71">IF(AND(B1366&lt;&gt;"",C1366&lt;&gt;""),"N/T","")</f>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101</v>
      </c>
      <c r="B1386" s="23" t="s">
        <v>93</v>
      </c>
      <c r="C1386" s="24" t="s">
        <v>180</v>
      </c>
      <c r="D1386" s="25" t="s">
        <v>103</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https://www.comunidad.madrid/tacp/</v>
      </c>
      <c r="D1387" s="99" t="s">
        <v>94</v>
      </c>
      <c r="E1387" s="79" t="str">
        <f t="shared" ref="E1387:E1421" si="72">IF(D1387&lt;&gt;"",IF(AND(B1387&lt;&gt;"",C1387&lt;&gt;""),"","ERR"),"")</f>
        <v/>
      </c>
      <c r="F1387" s="86" t="s">
        <v>104</v>
      </c>
      <c r="G1387" s="87" t="s">
        <v>105</v>
      </c>
      <c r="H1387" s="88" t="s">
        <v>106</v>
      </c>
      <c r="I1387" s="89" t="s">
        <v>96</v>
      </c>
      <c r="J1387" s="90" t="s">
        <v>94</v>
      </c>
      <c r="K1387" s="179" t="s">
        <v>100</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Carta del presidente</v>
      </c>
      <c r="C1388" s="85" t="str" cm="1">
        <f t="array" ref="C1388">IFERROR(INDEX('03.Muestra'!$F$8:$F$42,SMALL(IF("Página Web"='03.Muestra'!$D$8:$D$42,ROW('03.Muestra'!$F$8:$F$42)-MIN(ROW('03.Muestra'!$D$8:$D$42))+1,""),ROW()-1386)),"")</f>
        <v>https://www.comunidad.madrid/tacp/carta-del-presidente</v>
      </c>
      <c r="D1388" s="99" t="s">
        <v>94</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17</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Organización</v>
      </c>
      <c r="C1389" s="85" t="str" cm="1">
        <f t="array" ref="C1389">IFERROR(INDEX('03.Muestra'!$F$8:$F$42,SMALL(IF("Página Web"='03.Muestra'!$D$8:$D$42,ROW('03.Muestra'!$F$8:$F$42)-MIN(ROW('03.Muestra'!$D$8:$D$42))+1,""),ROW()-1386)),"")</f>
        <v>https://www.comunidad.madrid/tacp/el-tribunal/organización</v>
      </c>
      <c r="D1389" s="99" t="s">
        <v>94</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Acuerdos</v>
      </c>
      <c r="C1390" s="85" t="str" cm="1">
        <f t="array" ref="C1390">IFERROR(INDEX('03.Muestra'!$F$8:$F$42,SMALL(IF("Página Web"='03.Muestra'!$D$8:$D$42,ROW('03.Muestra'!$F$8:$F$42)-MIN(ROW('03.Muestra'!$D$8:$D$42))+1,""),ROW()-1386)),"")</f>
        <v>https://www.comunidad.madrid/tacp/el-tribunal/acuerdos-del-tacp</v>
      </c>
      <c r="D1390" s="99" t="s">
        <v>94</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Presentacion</v>
      </c>
      <c r="C1391" s="85" t="str" cm="1">
        <f t="array" ref="C1391">IFERROR(INDEX('03.Muestra'!$F$8:$F$42,SMALL(IF("Página Web"='03.Muestra'!$D$8:$D$42,ROW('03.Muestra'!$F$8:$F$42)-MIN(ROW('03.Muestra'!$D$8:$D$42))+1,""),ROW()-1386)),"")</f>
        <v>https://www.comunidad.madrid/tacp/el-tribunal/presentacion-electronica-e-impresos-normalizados</v>
      </c>
      <c r="D1391" s="99" t="s">
        <v>94</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Guia</v>
      </c>
      <c r="C1392" s="85" t="str" cm="1">
        <f t="array" ref="C1392">IFERROR(INDEX('03.Muestra'!$F$8:$F$42,SMALL(IF("Página Web"='03.Muestra'!$D$8:$D$42,ROW('03.Muestra'!$F$8:$F$42)-MIN(ROW('03.Muestra'!$D$8:$D$42))+1,""),ROW()-1386)),"")</f>
        <v>https://www.comunidad.madrid/tacp/el-tribunal/guia-informativa-sobre-la-regulacion-del-tribunal-de-contratacion-publica-y-los</v>
      </c>
      <c r="D1392" s="99" t="s">
        <v>94</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Preguntas</v>
      </c>
      <c r="C1393" s="85" t="str" cm="1">
        <f t="array" ref="C1393">IFERROR(INDEX('03.Muestra'!$F$8:$F$42,SMALL(IF("Página Web"='03.Muestra'!$D$8:$D$42,ROW('03.Muestra'!$F$8:$F$42)-MIN(ROW('03.Muestra'!$D$8:$D$42))+1,""),ROW()-1386)),"")</f>
        <v>https://www.comunidad.madrid/tacp/faq-page</v>
      </c>
      <c r="D1393" s="99" t="s">
        <v>94</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Histórico</v>
      </c>
      <c r="C1394" s="85" t="str" cm="1">
        <f t="array" ref="C1394">IFERROR(INDEX('03.Muestra'!$F$8:$F$42,SMALL(IF("Página Web"='03.Muestra'!$D$8:$D$42,ROW('03.Muestra'!$F$8:$F$42)-MIN(ROW('03.Muestra'!$D$8:$D$42))+1,""),ROW()-1386)),"")</f>
        <v>https://www.comunidad.madrid/tacp/el-tribunal/historico-resoluciones-de-las-reclamaciones-de-acceso-informacion-publica</v>
      </c>
      <c r="D1394" s="99" t="s">
        <v>94</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Estudios</v>
      </c>
      <c r="C1395" s="85" t="str" cm="1">
        <f t="array" ref="C1395">IFERROR(INDEX('03.Muestra'!$F$8:$F$42,SMALL(IF("Página Web"='03.Muestra'!$D$8:$D$42,ROW('03.Muestra'!$F$8:$F$42)-MIN(ROW('03.Muestra'!$D$8:$D$42))+1,""),ROW()-1386)),"")</f>
        <v>https://www.comunidad.madrid/tacp/estudios</v>
      </c>
      <c r="D1395" s="99" t="s">
        <v>94</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Memorias</v>
      </c>
      <c r="C1396" s="85" t="str" cm="1">
        <f t="array" ref="C1396">IFERROR(INDEX('03.Muestra'!$F$8:$F$42,SMALL(IF("Página Web"='03.Muestra'!$D$8:$D$42,ROW('03.Muestra'!$F$8:$F$42)-MIN(ROW('03.Muestra'!$D$8:$D$42))+1,""),ROW()-1386)),"")</f>
        <v>https://www.comunidad.madrid/tacp/memorias</v>
      </c>
      <c r="D1396" s="99" t="s">
        <v>94</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Busqueda Resol</v>
      </c>
      <c r="C1397" s="85" t="str" cm="1">
        <f t="array" ref="C1397">IFERROR(INDEX('03.Muestra'!$F$8:$F$42,SMALL(IF("Página Web"='03.Muestra'!$D$8:$D$42,ROW('03.Muestra'!$F$8:$F$42)-MIN(ROW('03.Muestra'!$D$8:$D$42))+1,""),ROW()-1386)),"")</f>
        <v>https://www.comunidad.madrid/tacp/busquedaresoluciones</v>
      </c>
      <c r="D1397" s="99" t="s">
        <v>94</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Novedades</v>
      </c>
      <c r="C1398" s="85" t="str" cm="1">
        <f t="array" ref="C1398">IFERROR(INDEX('03.Muestra'!$F$8:$F$42,SMALL(IF("Página Web"='03.Muestra'!$D$8:$D$42,ROW('03.Muestra'!$F$8:$F$42)-MIN(ROW('03.Muestra'!$D$8:$D$42))+1,""),ROW()-1386)),"")</f>
        <v>https://www.comunidad.madrid/tacp/noticias</v>
      </c>
      <c r="D1398" s="99" t="s">
        <v>94</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Recursos especiales</v>
      </c>
      <c r="C1399" s="85" t="str" cm="1">
        <f t="array" ref="C1399">IFERROR(INDEX('03.Muestra'!$F$8:$F$42,SMALL(IF("Página Web"='03.Muestra'!$D$8:$D$42,ROW('03.Muestra'!$F$8:$F$42)-MIN(ROW('03.Muestra'!$D$8:$D$42))+1,""),ROW()-1386)),"")</f>
        <v>https://www.comunidad.madrid/tacp/novedades/publicacion-recursos-especiales-en-perfil-contratante</v>
      </c>
      <c r="D1399" s="99" t="s">
        <v>94</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Normativa</v>
      </c>
      <c r="C1400" s="85" t="str" cm="1">
        <f t="array" ref="C1400">IFERROR(INDEX('03.Muestra'!$F$8:$F$42,SMALL(IF("Página Web"='03.Muestra'!$D$8:$D$42,ROW('03.Muestra'!$F$8:$F$42)-MIN(ROW('03.Muestra'!$D$8:$D$42))+1,""),ROW()-1386)),"")</f>
        <v>https://www.comunidad.madrid/es/tacp/normativa</v>
      </c>
      <c r="D1400" s="99" t="s">
        <v>94</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Organos Competentes</v>
      </c>
      <c r="C1401" s="85" t="str" cm="1">
        <f t="array" ref="C1401">IFERROR(INDEX('03.Muestra'!$F$8:$F$42,SMALL(IF("Página Web"='03.Muestra'!$D$8:$D$42,ROW('03.Muestra'!$F$8:$F$42)-MIN(ROW('03.Muestra'!$D$8:$D$42))+1,""),ROW()-1386)),"")</f>
        <v>https://www.comunidad.madrid/es/tacp/otros-organos-competentes</v>
      </c>
      <c r="D1401" s="99" t="s">
        <v>94</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Contacto</v>
      </c>
      <c r="C1402" s="85" t="str" cm="1">
        <f t="array" ref="C1402">IFERROR(INDEX('03.Muestra'!$F$8:$F$42,SMALL(IF("Página Web"='03.Muestra'!$D$8:$D$42,ROW('03.Muestra'!$F$8:$F$42)-MIN(ROW('03.Muestra'!$D$8:$D$42))+1,""),ROW()-1386)),"")</f>
        <v>https://www.comunidad.madrid/es/tacp/contact</v>
      </c>
      <c r="D1402" s="99" t="s">
        <v>94</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Accesibilidad</v>
      </c>
      <c r="C1403" s="85" t="str" cm="1">
        <f t="array" ref="C1403">IFERROR(INDEX('03.Muestra'!$F$8:$F$42,SMALL(IF("Página Web"='03.Muestra'!$D$8:$D$42,ROW('03.Muestra'!$F$8:$F$42)-MIN(ROW('03.Muestra'!$D$8:$D$42))+1,""),ROW()-1386)),"")</f>
        <v>https://www.comunidad.madrid/es/tacp/accesibilidad</v>
      </c>
      <c r="D1403" s="99" t="s">
        <v>94</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ref="D1404:D1421" si="73">IF(AND(B1404&lt;&gt;"",C1404&lt;&gt;""),"N/T","")</f>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101</v>
      </c>
      <c r="B1424" s="23" t="s">
        <v>93</v>
      </c>
      <c r="C1424" s="24" t="s">
        <v>181</v>
      </c>
      <c r="D1424" s="25" t="s">
        <v>103</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https://www.comunidad.madrid/tacp/</v>
      </c>
      <c r="D1425" s="99" t="s">
        <v>106</v>
      </c>
      <c r="E1425" s="79" t="str">
        <f t="shared" ref="E1425:E1459" si="74">IF(D1425&lt;&gt;"",IF(AND(B1425&lt;&gt;"",C1425&lt;&gt;""),"","ERR"),"")</f>
        <v/>
      </c>
      <c r="F1425" s="86" t="s">
        <v>104</v>
      </c>
      <c r="G1425" s="87" t="s">
        <v>105</v>
      </c>
      <c r="H1425" s="88" t="s">
        <v>106</v>
      </c>
      <c r="I1425" s="89" t="s">
        <v>96</v>
      </c>
      <c r="J1425" s="90" t="s">
        <v>94</v>
      </c>
      <c r="K1425" s="179" t="s">
        <v>100</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Carta del presidente</v>
      </c>
      <c r="C1426" s="85" t="str" cm="1">
        <f t="array" ref="C1426">IFERROR(INDEX('03.Muestra'!$F$8:$F$42,SMALL(IF("Página Web"='03.Muestra'!$D$8:$D$42,ROW('03.Muestra'!$F$8:$F$42)-MIN(ROW('03.Muestra'!$D$8:$D$42))+1,""),ROW()-1424)),"")</f>
        <v>https://www.comunidad.madrid/tacp/carta-del-presidente</v>
      </c>
      <c r="D1426" s="99" t="s">
        <v>106</v>
      </c>
      <c r="E1426" s="79" t="str">
        <f t="shared" si="74"/>
        <v/>
      </c>
      <c r="F1426" s="91">
        <f ca="1">COUNTIF($D1425:INDIRECT("$D" &amp;  SUM(ROW()-1,'03.Muestra'!$D$45)-1),F1425)</f>
        <v>0</v>
      </c>
      <c r="G1426" s="91">
        <f ca="1">COUNTIF($D1425:INDIRECT("$D" &amp;  SUM(ROW()-1,'03.Muestra'!$D$45)-1),G1425)</f>
        <v>0</v>
      </c>
      <c r="H1426" s="91">
        <f ca="1">COUNTIF($D1425:INDIRECT("$D" &amp;  SUM(ROW()-1,'03.Muestra'!$D$45)-1),H1425)</f>
        <v>17</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Organización</v>
      </c>
      <c r="C1427" s="85" t="str" cm="1">
        <f t="array" ref="C1427">IFERROR(INDEX('03.Muestra'!$F$8:$F$42,SMALL(IF("Página Web"='03.Muestra'!$D$8:$D$42,ROW('03.Muestra'!$F$8:$F$42)-MIN(ROW('03.Muestra'!$D$8:$D$42))+1,""),ROW()-1424)),"")</f>
        <v>https://www.comunidad.madrid/tacp/el-tribunal/organización</v>
      </c>
      <c r="D1427" s="99" t="s">
        <v>106</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Acuerdos</v>
      </c>
      <c r="C1428" s="85" t="str" cm="1">
        <f t="array" ref="C1428">IFERROR(INDEX('03.Muestra'!$F$8:$F$42,SMALL(IF("Página Web"='03.Muestra'!$D$8:$D$42,ROW('03.Muestra'!$F$8:$F$42)-MIN(ROW('03.Muestra'!$D$8:$D$42))+1,""),ROW()-1424)),"")</f>
        <v>https://www.comunidad.madrid/tacp/el-tribunal/acuerdos-del-tacp</v>
      </c>
      <c r="D1428" s="99" t="s">
        <v>106</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Presentacion</v>
      </c>
      <c r="C1429" s="85" t="str" cm="1">
        <f t="array" ref="C1429">IFERROR(INDEX('03.Muestra'!$F$8:$F$42,SMALL(IF("Página Web"='03.Muestra'!$D$8:$D$42,ROW('03.Muestra'!$F$8:$F$42)-MIN(ROW('03.Muestra'!$D$8:$D$42))+1,""),ROW()-1424)),"")</f>
        <v>https://www.comunidad.madrid/tacp/el-tribunal/presentacion-electronica-e-impresos-normalizados</v>
      </c>
      <c r="D1429" s="99" t="s">
        <v>106</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Guia</v>
      </c>
      <c r="C1430" s="85" t="str" cm="1">
        <f t="array" ref="C1430">IFERROR(INDEX('03.Muestra'!$F$8:$F$42,SMALL(IF("Página Web"='03.Muestra'!$D$8:$D$42,ROW('03.Muestra'!$F$8:$F$42)-MIN(ROW('03.Muestra'!$D$8:$D$42))+1,""),ROW()-1424)),"")</f>
        <v>https://www.comunidad.madrid/tacp/el-tribunal/guia-informativa-sobre-la-regulacion-del-tribunal-de-contratacion-publica-y-los</v>
      </c>
      <c r="D1430" s="99" t="s">
        <v>106</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Preguntas</v>
      </c>
      <c r="C1431" s="85" t="str" cm="1">
        <f t="array" ref="C1431">IFERROR(INDEX('03.Muestra'!$F$8:$F$42,SMALL(IF("Página Web"='03.Muestra'!$D$8:$D$42,ROW('03.Muestra'!$F$8:$F$42)-MIN(ROW('03.Muestra'!$D$8:$D$42))+1,""),ROW()-1424)),"")</f>
        <v>https://www.comunidad.madrid/tacp/faq-page</v>
      </c>
      <c r="D1431" s="99" t="s">
        <v>106</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Histórico</v>
      </c>
      <c r="C1432" s="85" t="str" cm="1">
        <f t="array" ref="C1432">IFERROR(INDEX('03.Muestra'!$F$8:$F$42,SMALL(IF("Página Web"='03.Muestra'!$D$8:$D$42,ROW('03.Muestra'!$F$8:$F$42)-MIN(ROW('03.Muestra'!$D$8:$D$42))+1,""),ROW()-1424)),"")</f>
        <v>https://www.comunidad.madrid/tacp/el-tribunal/historico-resoluciones-de-las-reclamaciones-de-acceso-informacion-publica</v>
      </c>
      <c r="D1432" s="99" t="s">
        <v>106</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Estudios</v>
      </c>
      <c r="C1433" s="85" t="str" cm="1">
        <f t="array" ref="C1433">IFERROR(INDEX('03.Muestra'!$F$8:$F$42,SMALL(IF("Página Web"='03.Muestra'!$D$8:$D$42,ROW('03.Muestra'!$F$8:$F$42)-MIN(ROW('03.Muestra'!$D$8:$D$42))+1,""),ROW()-1424)),"")</f>
        <v>https://www.comunidad.madrid/tacp/estudios</v>
      </c>
      <c r="D1433" s="99" t="s">
        <v>106</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Memorias</v>
      </c>
      <c r="C1434" s="85" t="str" cm="1">
        <f t="array" ref="C1434">IFERROR(INDEX('03.Muestra'!$F$8:$F$42,SMALL(IF("Página Web"='03.Muestra'!$D$8:$D$42,ROW('03.Muestra'!$F$8:$F$42)-MIN(ROW('03.Muestra'!$D$8:$D$42))+1,""),ROW()-1424)),"")</f>
        <v>https://www.comunidad.madrid/tacp/memorias</v>
      </c>
      <c r="D1434" s="99" t="s">
        <v>106</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Busqueda Resol</v>
      </c>
      <c r="C1435" s="85" t="str" cm="1">
        <f t="array" ref="C1435">IFERROR(INDEX('03.Muestra'!$F$8:$F$42,SMALL(IF("Página Web"='03.Muestra'!$D$8:$D$42,ROW('03.Muestra'!$F$8:$F$42)-MIN(ROW('03.Muestra'!$D$8:$D$42))+1,""),ROW()-1424)),"")</f>
        <v>https://www.comunidad.madrid/tacp/busquedaresoluciones</v>
      </c>
      <c r="D1435" s="99" t="s">
        <v>106</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Novedades</v>
      </c>
      <c r="C1436" s="85" t="str" cm="1">
        <f t="array" ref="C1436">IFERROR(INDEX('03.Muestra'!$F$8:$F$42,SMALL(IF("Página Web"='03.Muestra'!$D$8:$D$42,ROW('03.Muestra'!$F$8:$F$42)-MIN(ROW('03.Muestra'!$D$8:$D$42))+1,""),ROW()-1424)),"")</f>
        <v>https://www.comunidad.madrid/tacp/noticias</v>
      </c>
      <c r="D1436" s="99" t="s">
        <v>106</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Recursos especiales</v>
      </c>
      <c r="C1437" s="85" t="str" cm="1">
        <f t="array" ref="C1437">IFERROR(INDEX('03.Muestra'!$F$8:$F$42,SMALL(IF("Página Web"='03.Muestra'!$D$8:$D$42,ROW('03.Muestra'!$F$8:$F$42)-MIN(ROW('03.Muestra'!$D$8:$D$42))+1,""),ROW()-1424)),"")</f>
        <v>https://www.comunidad.madrid/tacp/novedades/publicacion-recursos-especiales-en-perfil-contratante</v>
      </c>
      <c r="D1437" s="99" t="s">
        <v>106</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Normativa</v>
      </c>
      <c r="C1438" s="85" t="str" cm="1">
        <f t="array" ref="C1438">IFERROR(INDEX('03.Muestra'!$F$8:$F$42,SMALL(IF("Página Web"='03.Muestra'!$D$8:$D$42,ROW('03.Muestra'!$F$8:$F$42)-MIN(ROW('03.Muestra'!$D$8:$D$42))+1,""),ROW()-1424)),"")</f>
        <v>https://www.comunidad.madrid/es/tacp/normativa</v>
      </c>
      <c r="D1438" s="99" t="s">
        <v>106</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Organos Competentes</v>
      </c>
      <c r="C1439" s="85" t="str" cm="1">
        <f t="array" ref="C1439">IFERROR(INDEX('03.Muestra'!$F$8:$F$42,SMALL(IF("Página Web"='03.Muestra'!$D$8:$D$42,ROW('03.Muestra'!$F$8:$F$42)-MIN(ROW('03.Muestra'!$D$8:$D$42))+1,""),ROW()-1424)),"")</f>
        <v>https://www.comunidad.madrid/es/tacp/otros-organos-competentes</v>
      </c>
      <c r="D1439" s="99" t="s">
        <v>106</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Contacto</v>
      </c>
      <c r="C1440" s="85" t="str" cm="1">
        <f t="array" ref="C1440">IFERROR(INDEX('03.Muestra'!$F$8:$F$42,SMALL(IF("Página Web"='03.Muestra'!$D$8:$D$42,ROW('03.Muestra'!$F$8:$F$42)-MIN(ROW('03.Muestra'!$D$8:$D$42))+1,""),ROW()-1424)),"")</f>
        <v>https://www.comunidad.madrid/es/tacp/contact</v>
      </c>
      <c r="D1440" s="99" t="s">
        <v>106</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Accesibilidad</v>
      </c>
      <c r="C1441" s="85" t="str" cm="1">
        <f t="array" ref="C1441">IFERROR(INDEX('03.Muestra'!$F$8:$F$42,SMALL(IF("Página Web"='03.Muestra'!$D$8:$D$42,ROW('03.Muestra'!$F$8:$F$42)-MIN(ROW('03.Muestra'!$D$8:$D$42))+1,""),ROW()-1424)),"")</f>
        <v>https://www.comunidad.madrid/es/tacp/accesibilidad</v>
      </c>
      <c r="D1441" s="99" t="s">
        <v>106</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ref="D1442:D1459" si="75">IF(AND(B1442&lt;&gt;"",C1442&lt;&gt;""),"N/T","")</f>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101</v>
      </c>
      <c r="B1462" s="23" t="s">
        <v>93</v>
      </c>
      <c r="C1462" s="24" t="s">
        <v>182</v>
      </c>
      <c r="D1462" s="25" t="s">
        <v>103</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https://www.comunidad.madrid/tacp/</v>
      </c>
      <c r="D1463" s="99" t="s">
        <v>94</v>
      </c>
      <c r="E1463" s="79" t="str">
        <f t="shared" ref="E1463:E1497" si="76">IF(D1463&lt;&gt;"",IF(AND(B1463&lt;&gt;"",C1463&lt;&gt;""),"","ERR"),"")</f>
        <v/>
      </c>
      <c r="F1463" s="86" t="s">
        <v>104</v>
      </c>
      <c r="G1463" s="87" t="s">
        <v>105</v>
      </c>
      <c r="H1463" s="88" t="s">
        <v>106</v>
      </c>
      <c r="I1463" s="89" t="s">
        <v>96</v>
      </c>
      <c r="J1463" s="90" t="s">
        <v>94</v>
      </c>
      <c r="K1463" s="179" t="s">
        <v>100</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Carta del presidente</v>
      </c>
      <c r="C1464" s="85" t="str" cm="1">
        <f t="array" ref="C1464">IFERROR(INDEX('03.Muestra'!$F$8:$F$42,SMALL(IF("Página Web"='03.Muestra'!$D$8:$D$42,ROW('03.Muestra'!$F$8:$F$42)-MIN(ROW('03.Muestra'!$D$8:$D$42))+1,""),ROW()-1462)),"")</f>
        <v>https://www.comunidad.madrid/tacp/carta-del-presidente</v>
      </c>
      <c r="D1464" s="99" t="s">
        <v>94</v>
      </c>
      <c r="E1464" s="79" t="str">
        <f t="shared" si="76"/>
        <v/>
      </c>
      <c r="F1464" s="91">
        <f ca="1">COUNTIF($D1463:INDIRECT("$D" &amp;  SUM(ROW()-1,'03.Muestra'!$D$45)-1),F1463)</f>
        <v>0</v>
      </c>
      <c r="G1464" s="91">
        <f ca="1">COUNTIF($D1463:INDIRECT("$D" &amp;  SUM(ROW()-1,'03.Muestra'!$D$45)-1),G1463)</f>
        <v>0</v>
      </c>
      <c r="H1464" s="91">
        <f ca="1">COUNTIF($D1463:INDIRECT("$D" &amp;  SUM(ROW()-1,'03.Muestra'!$D$45)-1),H1463)</f>
        <v>1</v>
      </c>
      <c r="I1464" s="91">
        <f ca="1">COUNTIF($D1463:INDIRECT("$D" &amp;  SUM(ROW()-1,'03.Muestra'!$D$45)-1),I1463)</f>
        <v>0</v>
      </c>
      <c r="J1464" s="91">
        <f ca="1">COUNTIF($D1463:INDIRECT("$D" &amp;  SUM(ROW()-1,'03.Muestra'!$D$45)-1),J1463)</f>
        <v>16</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Organización</v>
      </c>
      <c r="C1465" s="85" t="str" cm="1">
        <f t="array" ref="C1465">IFERROR(INDEX('03.Muestra'!$F$8:$F$42,SMALL(IF("Página Web"='03.Muestra'!$D$8:$D$42,ROW('03.Muestra'!$F$8:$F$42)-MIN(ROW('03.Muestra'!$D$8:$D$42))+1,""),ROW()-1462)),"")</f>
        <v>https://www.comunidad.madrid/tacp/el-tribunal/organización</v>
      </c>
      <c r="D1465" s="99" t="s">
        <v>94</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Acuerdos</v>
      </c>
      <c r="C1466" s="85" t="str" cm="1">
        <f t="array" ref="C1466">IFERROR(INDEX('03.Muestra'!$F$8:$F$42,SMALL(IF("Página Web"='03.Muestra'!$D$8:$D$42,ROW('03.Muestra'!$F$8:$F$42)-MIN(ROW('03.Muestra'!$D$8:$D$42))+1,""),ROW()-1462)),"")</f>
        <v>https://www.comunidad.madrid/tacp/el-tribunal/acuerdos-del-tacp</v>
      </c>
      <c r="D1466" s="99" t="s">
        <v>94</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Presentacion</v>
      </c>
      <c r="C1467" s="85" t="str" cm="1">
        <f t="array" ref="C1467">IFERROR(INDEX('03.Muestra'!$F$8:$F$42,SMALL(IF("Página Web"='03.Muestra'!$D$8:$D$42,ROW('03.Muestra'!$F$8:$F$42)-MIN(ROW('03.Muestra'!$D$8:$D$42))+1,""),ROW()-1462)),"")</f>
        <v>https://www.comunidad.madrid/tacp/el-tribunal/presentacion-electronica-e-impresos-normalizados</v>
      </c>
      <c r="D1467" s="99" t="s">
        <v>94</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Guia</v>
      </c>
      <c r="C1468" s="85" t="str" cm="1">
        <f t="array" ref="C1468">IFERROR(INDEX('03.Muestra'!$F$8:$F$42,SMALL(IF("Página Web"='03.Muestra'!$D$8:$D$42,ROW('03.Muestra'!$F$8:$F$42)-MIN(ROW('03.Muestra'!$D$8:$D$42))+1,""),ROW()-1462)),"")</f>
        <v>https://www.comunidad.madrid/tacp/el-tribunal/guia-informativa-sobre-la-regulacion-del-tribunal-de-contratacion-publica-y-los</v>
      </c>
      <c r="D1468" s="99" t="s">
        <v>94</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Preguntas</v>
      </c>
      <c r="C1469" s="85" t="str" cm="1">
        <f t="array" ref="C1469">IFERROR(INDEX('03.Muestra'!$F$8:$F$42,SMALL(IF("Página Web"='03.Muestra'!$D$8:$D$42,ROW('03.Muestra'!$F$8:$F$42)-MIN(ROW('03.Muestra'!$D$8:$D$42))+1,""),ROW()-1462)),"")</f>
        <v>https://www.comunidad.madrid/tacp/faq-page</v>
      </c>
      <c r="D1469" s="99" t="s">
        <v>94</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Histórico</v>
      </c>
      <c r="C1470" s="85" t="str" cm="1">
        <f t="array" ref="C1470">IFERROR(INDEX('03.Muestra'!$F$8:$F$42,SMALL(IF("Página Web"='03.Muestra'!$D$8:$D$42,ROW('03.Muestra'!$F$8:$F$42)-MIN(ROW('03.Muestra'!$D$8:$D$42))+1,""),ROW()-1462)),"")</f>
        <v>https://www.comunidad.madrid/tacp/el-tribunal/historico-resoluciones-de-las-reclamaciones-de-acceso-informacion-publica</v>
      </c>
      <c r="D1470" s="99" t="s">
        <v>94</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Estudios</v>
      </c>
      <c r="C1471" s="85" t="str" cm="1">
        <f t="array" ref="C1471">IFERROR(INDEX('03.Muestra'!$F$8:$F$42,SMALL(IF("Página Web"='03.Muestra'!$D$8:$D$42,ROW('03.Muestra'!$F$8:$F$42)-MIN(ROW('03.Muestra'!$D$8:$D$42))+1,""),ROW()-1462)),"")</f>
        <v>https://www.comunidad.madrid/tacp/estudios</v>
      </c>
      <c r="D1471" s="99" t="s">
        <v>94</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Memorias</v>
      </c>
      <c r="C1472" s="85" t="str" cm="1">
        <f t="array" ref="C1472">IFERROR(INDEX('03.Muestra'!$F$8:$F$42,SMALL(IF("Página Web"='03.Muestra'!$D$8:$D$42,ROW('03.Muestra'!$F$8:$F$42)-MIN(ROW('03.Muestra'!$D$8:$D$42))+1,""),ROW()-1462)),"")</f>
        <v>https://www.comunidad.madrid/tacp/memorias</v>
      </c>
      <c r="D1472" s="99" t="s">
        <v>94</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Busqueda Resol</v>
      </c>
      <c r="C1473" s="85" t="str" cm="1">
        <f t="array" ref="C1473">IFERROR(INDEX('03.Muestra'!$F$8:$F$42,SMALL(IF("Página Web"='03.Muestra'!$D$8:$D$42,ROW('03.Muestra'!$F$8:$F$42)-MIN(ROW('03.Muestra'!$D$8:$D$42))+1,""),ROW()-1462)),"")</f>
        <v>https://www.comunidad.madrid/tacp/busquedaresoluciones</v>
      </c>
      <c r="D1473" s="99" t="s">
        <v>94</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Novedades</v>
      </c>
      <c r="C1474" s="85" t="str" cm="1">
        <f t="array" ref="C1474">IFERROR(INDEX('03.Muestra'!$F$8:$F$42,SMALL(IF("Página Web"='03.Muestra'!$D$8:$D$42,ROW('03.Muestra'!$F$8:$F$42)-MIN(ROW('03.Muestra'!$D$8:$D$42))+1,""),ROW()-1462)),"")</f>
        <v>https://www.comunidad.madrid/tacp/noticias</v>
      </c>
      <c r="D1474" s="99" t="s">
        <v>94</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Recursos especiales</v>
      </c>
      <c r="C1475" s="85" t="str" cm="1">
        <f t="array" ref="C1475">IFERROR(INDEX('03.Muestra'!$F$8:$F$42,SMALL(IF("Página Web"='03.Muestra'!$D$8:$D$42,ROW('03.Muestra'!$F$8:$F$42)-MIN(ROW('03.Muestra'!$D$8:$D$42))+1,""),ROW()-1462)),"")</f>
        <v>https://www.comunidad.madrid/tacp/novedades/publicacion-recursos-especiales-en-perfil-contratante</v>
      </c>
      <c r="D1475" s="99" t="s">
        <v>94</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Normativa</v>
      </c>
      <c r="C1476" s="85" t="str" cm="1">
        <f t="array" ref="C1476">IFERROR(INDEX('03.Muestra'!$F$8:$F$42,SMALL(IF("Página Web"='03.Muestra'!$D$8:$D$42,ROW('03.Muestra'!$F$8:$F$42)-MIN(ROW('03.Muestra'!$D$8:$D$42))+1,""),ROW()-1462)),"")</f>
        <v>https://www.comunidad.madrid/es/tacp/normativa</v>
      </c>
      <c r="D1476" s="99" t="s">
        <v>94</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Organos Competentes</v>
      </c>
      <c r="C1477" s="85" t="str" cm="1">
        <f t="array" ref="C1477">IFERROR(INDEX('03.Muestra'!$F$8:$F$42,SMALL(IF("Página Web"='03.Muestra'!$D$8:$D$42,ROW('03.Muestra'!$F$8:$F$42)-MIN(ROW('03.Muestra'!$D$8:$D$42))+1,""),ROW()-1462)),"")</f>
        <v>https://www.comunidad.madrid/es/tacp/otros-organos-competentes</v>
      </c>
      <c r="D1477" s="99" t="s">
        <v>94</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Contacto</v>
      </c>
      <c r="C1478" s="85" t="str" cm="1">
        <f t="array" ref="C1478">IFERROR(INDEX('03.Muestra'!$F$8:$F$42,SMALL(IF("Página Web"='03.Muestra'!$D$8:$D$42,ROW('03.Muestra'!$F$8:$F$42)-MIN(ROW('03.Muestra'!$D$8:$D$42))+1,""),ROW()-1462)),"")</f>
        <v>https://www.comunidad.madrid/es/tacp/contact</v>
      </c>
      <c r="D1478" s="99" t="s">
        <v>94</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Accesibilidad</v>
      </c>
      <c r="C1479" s="85" t="str" cm="1">
        <f t="array" ref="C1479">IFERROR(INDEX('03.Muestra'!$F$8:$F$42,SMALL(IF("Página Web"='03.Muestra'!$D$8:$D$42,ROW('03.Muestra'!$F$8:$F$42)-MIN(ROW('03.Muestra'!$D$8:$D$42))+1,""),ROW()-1462)),"")</f>
        <v>https://www.comunidad.madrid/es/tacp/accesibilidad</v>
      </c>
      <c r="D1479" s="99" t="s">
        <v>106</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ref="D1480:D1497" si="77">IF(AND(B1480&lt;&gt;"",C1480&lt;&gt;""),"N/T","")</f>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101</v>
      </c>
      <c r="B1500" s="23" t="s">
        <v>93</v>
      </c>
      <c r="C1500" s="24" t="s">
        <v>183</v>
      </c>
      <c r="D1500" s="25" t="s">
        <v>103</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https://www.comunidad.madrid/tacp/</v>
      </c>
      <c r="D1501" s="99" t="s">
        <v>106</v>
      </c>
      <c r="E1501" s="79" t="str">
        <f t="shared" ref="E1501:E1535" si="78">IF(D1501&lt;&gt;"",IF(AND(B1501&lt;&gt;"",C1501&lt;&gt;""),"","ERR"),"")</f>
        <v/>
      </c>
      <c r="F1501" s="86" t="s">
        <v>104</v>
      </c>
      <c r="G1501" s="87" t="s">
        <v>105</v>
      </c>
      <c r="H1501" s="88" t="s">
        <v>106</v>
      </c>
      <c r="I1501" s="89" t="s">
        <v>96</v>
      </c>
      <c r="J1501" s="90" t="s">
        <v>94</v>
      </c>
      <c r="K1501" s="179" t="s">
        <v>100</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Carta del presidente</v>
      </c>
      <c r="C1502" s="85" t="str" cm="1">
        <f t="array" ref="C1502">IFERROR(INDEX('03.Muestra'!$F$8:$F$42,SMALL(IF("Página Web"='03.Muestra'!$D$8:$D$42,ROW('03.Muestra'!$F$8:$F$42)-MIN(ROW('03.Muestra'!$D$8:$D$42))+1,""),ROW()-1500)),"")</f>
        <v>https://www.comunidad.madrid/tacp/carta-del-presidente</v>
      </c>
      <c r="D1502" s="99" t="s">
        <v>106</v>
      </c>
      <c r="E1502" s="79" t="str">
        <f t="shared" si="78"/>
        <v/>
      </c>
      <c r="F1502" s="91">
        <f ca="1">COUNTIF($D1501:INDIRECT("$D" &amp;  SUM(ROW()-1,'03.Muestra'!$D$45)-1),F1501)</f>
        <v>0</v>
      </c>
      <c r="G1502" s="91">
        <f ca="1">COUNTIF($D1501:INDIRECT("$D" &amp;  SUM(ROW()-1,'03.Muestra'!$D$45)-1),G1501)</f>
        <v>0</v>
      </c>
      <c r="H1502" s="91">
        <f ca="1">COUNTIF($D1501:INDIRECT("$D" &amp;  SUM(ROW()-1,'03.Muestra'!$D$45)-1),H1501)</f>
        <v>17</v>
      </c>
      <c r="I1502" s="91">
        <f ca="1">COUNTIF($D1501:INDIRECT("$D" &amp;  SUM(ROW()-1,'03.Muestra'!$D$45)-1),I1501)</f>
        <v>0</v>
      </c>
      <c r="J1502" s="91">
        <f ca="1">COUNTIF($D1501:INDIRECT("$D" &amp;  SUM(ROW()-1,'03.Muestra'!$D$45)-1),J1501)</f>
        <v>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Organización</v>
      </c>
      <c r="C1503" s="85" t="str" cm="1">
        <f t="array" ref="C1503">IFERROR(INDEX('03.Muestra'!$F$8:$F$42,SMALL(IF("Página Web"='03.Muestra'!$D$8:$D$42,ROW('03.Muestra'!$F$8:$F$42)-MIN(ROW('03.Muestra'!$D$8:$D$42))+1,""),ROW()-1500)),"")</f>
        <v>https://www.comunidad.madrid/tacp/el-tribunal/organización</v>
      </c>
      <c r="D1503" s="99" t="s">
        <v>106</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Acuerdos</v>
      </c>
      <c r="C1504" s="85" t="str" cm="1">
        <f t="array" ref="C1504">IFERROR(INDEX('03.Muestra'!$F$8:$F$42,SMALL(IF("Página Web"='03.Muestra'!$D$8:$D$42,ROW('03.Muestra'!$F$8:$F$42)-MIN(ROW('03.Muestra'!$D$8:$D$42))+1,""),ROW()-1500)),"")</f>
        <v>https://www.comunidad.madrid/tacp/el-tribunal/acuerdos-del-tacp</v>
      </c>
      <c r="D1504" s="99" t="s">
        <v>106</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Presentacion</v>
      </c>
      <c r="C1505" s="85" t="str" cm="1">
        <f t="array" ref="C1505">IFERROR(INDEX('03.Muestra'!$F$8:$F$42,SMALL(IF("Página Web"='03.Muestra'!$D$8:$D$42,ROW('03.Muestra'!$F$8:$F$42)-MIN(ROW('03.Muestra'!$D$8:$D$42))+1,""),ROW()-1500)),"")</f>
        <v>https://www.comunidad.madrid/tacp/el-tribunal/presentacion-electronica-e-impresos-normalizados</v>
      </c>
      <c r="D1505" s="99" t="s">
        <v>106</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Guia</v>
      </c>
      <c r="C1506" s="85" t="str" cm="1">
        <f t="array" ref="C1506">IFERROR(INDEX('03.Muestra'!$F$8:$F$42,SMALL(IF("Página Web"='03.Muestra'!$D$8:$D$42,ROW('03.Muestra'!$F$8:$F$42)-MIN(ROW('03.Muestra'!$D$8:$D$42))+1,""),ROW()-1500)),"")</f>
        <v>https://www.comunidad.madrid/tacp/el-tribunal/guia-informativa-sobre-la-regulacion-del-tribunal-de-contratacion-publica-y-los</v>
      </c>
      <c r="D1506" s="99" t="s">
        <v>106</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Preguntas</v>
      </c>
      <c r="C1507" s="85" t="str" cm="1">
        <f t="array" ref="C1507">IFERROR(INDEX('03.Muestra'!$F$8:$F$42,SMALL(IF("Página Web"='03.Muestra'!$D$8:$D$42,ROW('03.Muestra'!$F$8:$F$42)-MIN(ROW('03.Muestra'!$D$8:$D$42))+1,""),ROW()-1500)),"")</f>
        <v>https://www.comunidad.madrid/tacp/faq-page</v>
      </c>
      <c r="D1507" s="99" t="s">
        <v>106</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Histórico</v>
      </c>
      <c r="C1508" s="85" t="str" cm="1">
        <f t="array" ref="C1508">IFERROR(INDEX('03.Muestra'!$F$8:$F$42,SMALL(IF("Página Web"='03.Muestra'!$D$8:$D$42,ROW('03.Muestra'!$F$8:$F$42)-MIN(ROW('03.Muestra'!$D$8:$D$42))+1,""),ROW()-1500)),"")</f>
        <v>https://www.comunidad.madrid/tacp/el-tribunal/historico-resoluciones-de-las-reclamaciones-de-acceso-informacion-publica</v>
      </c>
      <c r="D1508" s="99" t="s">
        <v>106</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Estudios</v>
      </c>
      <c r="C1509" s="85" t="str" cm="1">
        <f t="array" ref="C1509">IFERROR(INDEX('03.Muestra'!$F$8:$F$42,SMALL(IF("Página Web"='03.Muestra'!$D$8:$D$42,ROW('03.Muestra'!$F$8:$F$42)-MIN(ROW('03.Muestra'!$D$8:$D$42))+1,""),ROW()-1500)),"")</f>
        <v>https://www.comunidad.madrid/tacp/estudios</v>
      </c>
      <c r="D1509" s="99" t="s">
        <v>106</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Memorias</v>
      </c>
      <c r="C1510" s="85" t="str" cm="1">
        <f t="array" ref="C1510">IFERROR(INDEX('03.Muestra'!$F$8:$F$42,SMALL(IF("Página Web"='03.Muestra'!$D$8:$D$42,ROW('03.Muestra'!$F$8:$F$42)-MIN(ROW('03.Muestra'!$D$8:$D$42))+1,""),ROW()-1500)),"")</f>
        <v>https://www.comunidad.madrid/tacp/memorias</v>
      </c>
      <c r="D1510" s="99" t="s">
        <v>106</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Busqueda Resol</v>
      </c>
      <c r="C1511" s="85" t="str" cm="1">
        <f t="array" ref="C1511">IFERROR(INDEX('03.Muestra'!$F$8:$F$42,SMALL(IF("Página Web"='03.Muestra'!$D$8:$D$42,ROW('03.Muestra'!$F$8:$F$42)-MIN(ROW('03.Muestra'!$D$8:$D$42))+1,""),ROW()-1500)),"")</f>
        <v>https://www.comunidad.madrid/tacp/busquedaresoluciones</v>
      </c>
      <c r="D1511" s="99" t="s">
        <v>106</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Novedades</v>
      </c>
      <c r="C1512" s="85" t="str" cm="1">
        <f t="array" ref="C1512">IFERROR(INDEX('03.Muestra'!$F$8:$F$42,SMALL(IF("Página Web"='03.Muestra'!$D$8:$D$42,ROW('03.Muestra'!$F$8:$F$42)-MIN(ROW('03.Muestra'!$D$8:$D$42))+1,""),ROW()-1500)),"")</f>
        <v>https://www.comunidad.madrid/tacp/noticias</v>
      </c>
      <c r="D1512" s="99" t="s">
        <v>106</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Recursos especiales</v>
      </c>
      <c r="C1513" s="85" t="str" cm="1">
        <f t="array" ref="C1513">IFERROR(INDEX('03.Muestra'!$F$8:$F$42,SMALL(IF("Página Web"='03.Muestra'!$D$8:$D$42,ROW('03.Muestra'!$F$8:$F$42)-MIN(ROW('03.Muestra'!$D$8:$D$42))+1,""),ROW()-1500)),"")</f>
        <v>https://www.comunidad.madrid/tacp/novedades/publicacion-recursos-especiales-en-perfil-contratante</v>
      </c>
      <c r="D1513" s="99" t="s">
        <v>106</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Normativa</v>
      </c>
      <c r="C1514" s="85" t="str" cm="1">
        <f t="array" ref="C1514">IFERROR(INDEX('03.Muestra'!$F$8:$F$42,SMALL(IF("Página Web"='03.Muestra'!$D$8:$D$42,ROW('03.Muestra'!$F$8:$F$42)-MIN(ROW('03.Muestra'!$D$8:$D$42))+1,""),ROW()-1500)),"")</f>
        <v>https://www.comunidad.madrid/es/tacp/normativa</v>
      </c>
      <c r="D1514" s="99" t="s">
        <v>106</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Organos Competentes</v>
      </c>
      <c r="C1515" s="85" t="str" cm="1">
        <f t="array" ref="C1515">IFERROR(INDEX('03.Muestra'!$F$8:$F$42,SMALL(IF("Página Web"='03.Muestra'!$D$8:$D$42,ROW('03.Muestra'!$F$8:$F$42)-MIN(ROW('03.Muestra'!$D$8:$D$42))+1,""),ROW()-1500)),"")</f>
        <v>https://www.comunidad.madrid/es/tacp/otros-organos-competentes</v>
      </c>
      <c r="D1515" s="99" t="s">
        <v>106</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Contacto</v>
      </c>
      <c r="C1516" s="85" t="str" cm="1">
        <f t="array" ref="C1516">IFERROR(INDEX('03.Muestra'!$F$8:$F$42,SMALL(IF("Página Web"='03.Muestra'!$D$8:$D$42,ROW('03.Muestra'!$F$8:$F$42)-MIN(ROW('03.Muestra'!$D$8:$D$42))+1,""),ROW()-1500)),"")</f>
        <v>https://www.comunidad.madrid/es/tacp/contact</v>
      </c>
      <c r="D1516" s="99" t="s">
        <v>106</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Accesibilidad</v>
      </c>
      <c r="C1517" s="85" t="str" cm="1">
        <f t="array" ref="C1517">IFERROR(INDEX('03.Muestra'!$F$8:$F$42,SMALL(IF("Página Web"='03.Muestra'!$D$8:$D$42,ROW('03.Muestra'!$F$8:$F$42)-MIN(ROW('03.Muestra'!$D$8:$D$42))+1,""),ROW()-1500)),"")</f>
        <v>https://www.comunidad.madrid/es/tacp/accesibilidad</v>
      </c>
      <c r="D1517" s="99" t="s">
        <v>106</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ref="D1518:D1535" si="79">IF(AND(B1518&lt;&gt;"",C1518&lt;&gt;""),"N/T","")</f>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101</v>
      </c>
      <c r="B1538" s="23" t="s">
        <v>93</v>
      </c>
      <c r="C1538" s="24" t="s">
        <v>184</v>
      </c>
      <c r="D1538" s="25" t="s">
        <v>103</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https://www.comunidad.madrid/tacp/</v>
      </c>
      <c r="D1539" s="99" t="s">
        <v>94</v>
      </c>
      <c r="E1539" s="79" t="str">
        <f t="shared" ref="E1539:E1573" si="80">IF(D1539&lt;&gt;"",IF(AND(B1539&lt;&gt;"",C1539&lt;&gt;""),"","ERR"),"")</f>
        <v/>
      </c>
      <c r="F1539" s="86" t="s">
        <v>104</v>
      </c>
      <c r="G1539" s="87" t="s">
        <v>105</v>
      </c>
      <c r="H1539" s="88" t="s">
        <v>106</v>
      </c>
      <c r="I1539" s="89" t="s">
        <v>96</v>
      </c>
      <c r="J1539" s="90" t="s">
        <v>94</v>
      </c>
      <c r="K1539" s="179" t="s">
        <v>100</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Carta del presidente</v>
      </c>
      <c r="C1540" s="85" t="str" cm="1">
        <f t="array" ref="C1540">IFERROR(INDEX('03.Muestra'!$F$8:$F$42,SMALL(IF("Página Web"='03.Muestra'!$D$8:$D$42,ROW('03.Muestra'!$F$8:$F$42)-MIN(ROW('03.Muestra'!$D$8:$D$42))+1,""),ROW()-1538)),"")</f>
        <v>https://www.comunidad.madrid/tacp/carta-del-presidente</v>
      </c>
      <c r="D1540" s="99" t="s">
        <v>94</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17</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Organización</v>
      </c>
      <c r="C1541" s="85" t="str" cm="1">
        <f t="array" ref="C1541">IFERROR(INDEX('03.Muestra'!$F$8:$F$42,SMALL(IF("Página Web"='03.Muestra'!$D$8:$D$42,ROW('03.Muestra'!$F$8:$F$42)-MIN(ROW('03.Muestra'!$D$8:$D$42))+1,""),ROW()-1538)),"")</f>
        <v>https://www.comunidad.madrid/tacp/el-tribunal/organización</v>
      </c>
      <c r="D1541" s="99" t="s">
        <v>94</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Acuerdos</v>
      </c>
      <c r="C1542" s="85" t="str" cm="1">
        <f t="array" ref="C1542">IFERROR(INDEX('03.Muestra'!$F$8:$F$42,SMALL(IF("Página Web"='03.Muestra'!$D$8:$D$42,ROW('03.Muestra'!$F$8:$F$42)-MIN(ROW('03.Muestra'!$D$8:$D$42))+1,""),ROW()-1538)),"")</f>
        <v>https://www.comunidad.madrid/tacp/el-tribunal/acuerdos-del-tacp</v>
      </c>
      <c r="D1542" s="99" t="s">
        <v>94</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Presentacion</v>
      </c>
      <c r="C1543" s="85" t="str" cm="1">
        <f t="array" ref="C1543">IFERROR(INDEX('03.Muestra'!$F$8:$F$42,SMALL(IF("Página Web"='03.Muestra'!$D$8:$D$42,ROW('03.Muestra'!$F$8:$F$42)-MIN(ROW('03.Muestra'!$D$8:$D$42))+1,""),ROW()-1538)),"")</f>
        <v>https://www.comunidad.madrid/tacp/el-tribunal/presentacion-electronica-e-impresos-normalizados</v>
      </c>
      <c r="D1543" s="99" t="s">
        <v>94</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Guia</v>
      </c>
      <c r="C1544" s="85" t="str" cm="1">
        <f t="array" ref="C1544">IFERROR(INDEX('03.Muestra'!$F$8:$F$42,SMALL(IF("Página Web"='03.Muestra'!$D$8:$D$42,ROW('03.Muestra'!$F$8:$F$42)-MIN(ROW('03.Muestra'!$D$8:$D$42))+1,""),ROW()-1538)),"")</f>
        <v>https://www.comunidad.madrid/tacp/el-tribunal/guia-informativa-sobre-la-regulacion-del-tribunal-de-contratacion-publica-y-los</v>
      </c>
      <c r="D1544" s="99" t="s">
        <v>94</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Preguntas</v>
      </c>
      <c r="C1545" s="85" t="str" cm="1">
        <f t="array" ref="C1545">IFERROR(INDEX('03.Muestra'!$F$8:$F$42,SMALL(IF("Página Web"='03.Muestra'!$D$8:$D$42,ROW('03.Muestra'!$F$8:$F$42)-MIN(ROW('03.Muestra'!$D$8:$D$42))+1,""),ROW()-1538)),"")</f>
        <v>https://www.comunidad.madrid/tacp/faq-page</v>
      </c>
      <c r="D1545" s="99" t="s">
        <v>94</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Histórico</v>
      </c>
      <c r="C1546" s="85" t="str" cm="1">
        <f t="array" ref="C1546">IFERROR(INDEX('03.Muestra'!$F$8:$F$42,SMALL(IF("Página Web"='03.Muestra'!$D$8:$D$42,ROW('03.Muestra'!$F$8:$F$42)-MIN(ROW('03.Muestra'!$D$8:$D$42))+1,""),ROW()-1538)),"")</f>
        <v>https://www.comunidad.madrid/tacp/el-tribunal/historico-resoluciones-de-las-reclamaciones-de-acceso-informacion-publica</v>
      </c>
      <c r="D1546" s="99" t="s">
        <v>94</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Estudios</v>
      </c>
      <c r="C1547" s="85" t="str" cm="1">
        <f t="array" ref="C1547">IFERROR(INDEX('03.Muestra'!$F$8:$F$42,SMALL(IF("Página Web"='03.Muestra'!$D$8:$D$42,ROW('03.Muestra'!$F$8:$F$42)-MIN(ROW('03.Muestra'!$D$8:$D$42))+1,""),ROW()-1538)),"")</f>
        <v>https://www.comunidad.madrid/tacp/estudios</v>
      </c>
      <c r="D1547" s="99" t="s">
        <v>94</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Memorias</v>
      </c>
      <c r="C1548" s="85" t="str" cm="1">
        <f t="array" ref="C1548">IFERROR(INDEX('03.Muestra'!$F$8:$F$42,SMALL(IF("Página Web"='03.Muestra'!$D$8:$D$42,ROW('03.Muestra'!$F$8:$F$42)-MIN(ROW('03.Muestra'!$D$8:$D$42))+1,""),ROW()-1538)),"")</f>
        <v>https://www.comunidad.madrid/tacp/memorias</v>
      </c>
      <c r="D1548" s="99" t="s">
        <v>94</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Busqueda Resol</v>
      </c>
      <c r="C1549" s="85" t="str" cm="1">
        <f t="array" ref="C1549">IFERROR(INDEX('03.Muestra'!$F$8:$F$42,SMALL(IF("Página Web"='03.Muestra'!$D$8:$D$42,ROW('03.Muestra'!$F$8:$F$42)-MIN(ROW('03.Muestra'!$D$8:$D$42))+1,""),ROW()-1538)),"")</f>
        <v>https://www.comunidad.madrid/tacp/busquedaresoluciones</v>
      </c>
      <c r="D1549" s="99" t="s">
        <v>94</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Novedades</v>
      </c>
      <c r="C1550" s="85" t="str" cm="1">
        <f t="array" ref="C1550">IFERROR(INDEX('03.Muestra'!$F$8:$F$42,SMALL(IF("Página Web"='03.Muestra'!$D$8:$D$42,ROW('03.Muestra'!$F$8:$F$42)-MIN(ROW('03.Muestra'!$D$8:$D$42))+1,""),ROW()-1538)),"")</f>
        <v>https://www.comunidad.madrid/tacp/noticias</v>
      </c>
      <c r="D1550" s="99" t="s">
        <v>94</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Recursos especiales</v>
      </c>
      <c r="C1551" s="85" t="str" cm="1">
        <f t="array" ref="C1551">IFERROR(INDEX('03.Muestra'!$F$8:$F$42,SMALL(IF("Página Web"='03.Muestra'!$D$8:$D$42,ROW('03.Muestra'!$F$8:$F$42)-MIN(ROW('03.Muestra'!$D$8:$D$42))+1,""),ROW()-1538)),"")</f>
        <v>https://www.comunidad.madrid/tacp/novedades/publicacion-recursos-especiales-en-perfil-contratante</v>
      </c>
      <c r="D1551" s="99" t="s">
        <v>94</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Normativa</v>
      </c>
      <c r="C1552" s="85" t="str" cm="1">
        <f t="array" ref="C1552">IFERROR(INDEX('03.Muestra'!$F$8:$F$42,SMALL(IF("Página Web"='03.Muestra'!$D$8:$D$42,ROW('03.Muestra'!$F$8:$F$42)-MIN(ROW('03.Muestra'!$D$8:$D$42))+1,""),ROW()-1538)),"")</f>
        <v>https://www.comunidad.madrid/es/tacp/normativa</v>
      </c>
      <c r="D1552" s="99" t="s">
        <v>94</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Organos Competentes</v>
      </c>
      <c r="C1553" s="85" t="str" cm="1">
        <f t="array" ref="C1553">IFERROR(INDEX('03.Muestra'!$F$8:$F$42,SMALL(IF("Página Web"='03.Muestra'!$D$8:$D$42,ROW('03.Muestra'!$F$8:$F$42)-MIN(ROW('03.Muestra'!$D$8:$D$42))+1,""),ROW()-1538)),"")</f>
        <v>https://www.comunidad.madrid/es/tacp/otros-organos-competentes</v>
      </c>
      <c r="D1553" s="99" t="s">
        <v>94</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Contacto</v>
      </c>
      <c r="C1554" s="85" t="str" cm="1">
        <f t="array" ref="C1554">IFERROR(INDEX('03.Muestra'!$F$8:$F$42,SMALL(IF("Página Web"='03.Muestra'!$D$8:$D$42,ROW('03.Muestra'!$F$8:$F$42)-MIN(ROW('03.Muestra'!$D$8:$D$42))+1,""),ROW()-1538)),"")</f>
        <v>https://www.comunidad.madrid/es/tacp/contact</v>
      </c>
      <c r="D1554" s="99" t="s">
        <v>94</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Accesibilidad</v>
      </c>
      <c r="C1555" s="85" t="str" cm="1">
        <f t="array" ref="C1555">IFERROR(INDEX('03.Muestra'!$F$8:$F$42,SMALL(IF("Página Web"='03.Muestra'!$D$8:$D$42,ROW('03.Muestra'!$F$8:$F$42)-MIN(ROW('03.Muestra'!$D$8:$D$42))+1,""),ROW()-1538)),"")</f>
        <v>https://www.comunidad.madrid/es/tacp/accesibilidad</v>
      </c>
      <c r="D1555" s="99" t="s">
        <v>94</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ref="D1556:D1573" si="81">IF(AND(B1556&lt;&gt;"",C1556&lt;&gt;""),"N/T","")</f>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101</v>
      </c>
      <c r="B1576" s="23" t="s">
        <v>93</v>
      </c>
      <c r="C1576" s="24" t="s">
        <v>185</v>
      </c>
      <c r="D1576" s="25" t="s">
        <v>103</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https://www.comunidad.madrid/tacp/</v>
      </c>
      <c r="D1577" s="99" t="s">
        <v>94</v>
      </c>
      <c r="E1577" s="79" t="str">
        <f t="shared" ref="E1577:E1611" si="82">IF(D1577&lt;&gt;"",IF(AND(B1577&lt;&gt;"",C1577&lt;&gt;""),"","ERR"),"")</f>
        <v/>
      </c>
      <c r="F1577" s="86" t="s">
        <v>104</v>
      </c>
      <c r="G1577" s="87" t="s">
        <v>105</v>
      </c>
      <c r="H1577" s="88" t="s">
        <v>106</v>
      </c>
      <c r="I1577" s="89" t="s">
        <v>96</v>
      </c>
      <c r="J1577" s="90" t="s">
        <v>94</v>
      </c>
      <c r="K1577" s="179" t="s">
        <v>100</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Carta del presidente</v>
      </c>
      <c r="C1578" s="85" t="str" cm="1">
        <f t="array" ref="C1578">IFERROR(INDEX('03.Muestra'!$F$8:$F$42,SMALL(IF("Página Web"='03.Muestra'!$D$8:$D$42,ROW('03.Muestra'!$F$8:$F$42)-MIN(ROW('03.Muestra'!$D$8:$D$42))+1,""),ROW()-1576)),"")</f>
        <v>https://www.comunidad.madrid/tacp/carta-del-presidente</v>
      </c>
      <c r="D1578" s="99" t="s">
        <v>94</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17</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Organización</v>
      </c>
      <c r="C1579" s="85" t="str" cm="1">
        <f t="array" ref="C1579">IFERROR(INDEX('03.Muestra'!$F$8:$F$42,SMALL(IF("Página Web"='03.Muestra'!$D$8:$D$42,ROW('03.Muestra'!$F$8:$F$42)-MIN(ROW('03.Muestra'!$D$8:$D$42))+1,""),ROW()-1576)),"")</f>
        <v>https://www.comunidad.madrid/tacp/el-tribunal/organización</v>
      </c>
      <c r="D1579" s="99" t="s">
        <v>94</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Acuerdos</v>
      </c>
      <c r="C1580" s="85" t="str" cm="1">
        <f t="array" ref="C1580">IFERROR(INDEX('03.Muestra'!$F$8:$F$42,SMALL(IF("Página Web"='03.Muestra'!$D$8:$D$42,ROW('03.Muestra'!$F$8:$F$42)-MIN(ROW('03.Muestra'!$D$8:$D$42))+1,""),ROW()-1576)),"")</f>
        <v>https://www.comunidad.madrid/tacp/el-tribunal/acuerdos-del-tacp</v>
      </c>
      <c r="D1580" s="99" t="s">
        <v>94</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Presentacion</v>
      </c>
      <c r="C1581" s="85" t="str" cm="1">
        <f t="array" ref="C1581">IFERROR(INDEX('03.Muestra'!$F$8:$F$42,SMALL(IF("Página Web"='03.Muestra'!$D$8:$D$42,ROW('03.Muestra'!$F$8:$F$42)-MIN(ROW('03.Muestra'!$D$8:$D$42))+1,""),ROW()-1576)),"")</f>
        <v>https://www.comunidad.madrid/tacp/el-tribunal/presentacion-electronica-e-impresos-normalizados</v>
      </c>
      <c r="D1581" s="99" t="s">
        <v>94</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Guia</v>
      </c>
      <c r="C1582" s="85" t="str" cm="1">
        <f t="array" ref="C1582">IFERROR(INDEX('03.Muestra'!$F$8:$F$42,SMALL(IF("Página Web"='03.Muestra'!$D$8:$D$42,ROW('03.Muestra'!$F$8:$F$42)-MIN(ROW('03.Muestra'!$D$8:$D$42))+1,""),ROW()-1576)),"")</f>
        <v>https://www.comunidad.madrid/tacp/el-tribunal/guia-informativa-sobre-la-regulacion-del-tribunal-de-contratacion-publica-y-los</v>
      </c>
      <c r="D1582" s="99" t="s">
        <v>94</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Preguntas</v>
      </c>
      <c r="C1583" s="85" t="str" cm="1">
        <f t="array" ref="C1583">IFERROR(INDEX('03.Muestra'!$F$8:$F$42,SMALL(IF("Página Web"='03.Muestra'!$D$8:$D$42,ROW('03.Muestra'!$F$8:$F$42)-MIN(ROW('03.Muestra'!$D$8:$D$42))+1,""),ROW()-1576)),"")</f>
        <v>https://www.comunidad.madrid/tacp/faq-page</v>
      </c>
      <c r="D1583" s="99" t="s">
        <v>94</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Histórico</v>
      </c>
      <c r="C1584" s="85" t="str" cm="1">
        <f t="array" ref="C1584">IFERROR(INDEX('03.Muestra'!$F$8:$F$42,SMALL(IF("Página Web"='03.Muestra'!$D$8:$D$42,ROW('03.Muestra'!$F$8:$F$42)-MIN(ROW('03.Muestra'!$D$8:$D$42))+1,""),ROW()-1576)),"")</f>
        <v>https://www.comunidad.madrid/tacp/el-tribunal/historico-resoluciones-de-las-reclamaciones-de-acceso-informacion-publica</v>
      </c>
      <c r="D1584" s="99" t="s">
        <v>94</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Estudios</v>
      </c>
      <c r="C1585" s="85" t="str" cm="1">
        <f t="array" ref="C1585">IFERROR(INDEX('03.Muestra'!$F$8:$F$42,SMALL(IF("Página Web"='03.Muestra'!$D$8:$D$42,ROW('03.Muestra'!$F$8:$F$42)-MIN(ROW('03.Muestra'!$D$8:$D$42))+1,""),ROW()-1576)),"")</f>
        <v>https://www.comunidad.madrid/tacp/estudios</v>
      </c>
      <c r="D1585" s="99" t="s">
        <v>94</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Memorias</v>
      </c>
      <c r="C1586" s="85" t="str" cm="1">
        <f t="array" ref="C1586">IFERROR(INDEX('03.Muestra'!$F$8:$F$42,SMALL(IF("Página Web"='03.Muestra'!$D$8:$D$42,ROW('03.Muestra'!$F$8:$F$42)-MIN(ROW('03.Muestra'!$D$8:$D$42))+1,""),ROW()-1576)),"")</f>
        <v>https://www.comunidad.madrid/tacp/memorias</v>
      </c>
      <c r="D1586" s="99" t="s">
        <v>94</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Busqueda Resol</v>
      </c>
      <c r="C1587" s="85" t="str" cm="1">
        <f t="array" ref="C1587">IFERROR(INDEX('03.Muestra'!$F$8:$F$42,SMALL(IF("Página Web"='03.Muestra'!$D$8:$D$42,ROW('03.Muestra'!$F$8:$F$42)-MIN(ROW('03.Muestra'!$D$8:$D$42))+1,""),ROW()-1576)),"")</f>
        <v>https://www.comunidad.madrid/tacp/busquedaresoluciones</v>
      </c>
      <c r="D1587" s="99" t="s">
        <v>94</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Novedades</v>
      </c>
      <c r="C1588" s="85" t="str" cm="1">
        <f t="array" ref="C1588">IFERROR(INDEX('03.Muestra'!$F$8:$F$42,SMALL(IF("Página Web"='03.Muestra'!$D$8:$D$42,ROW('03.Muestra'!$F$8:$F$42)-MIN(ROW('03.Muestra'!$D$8:$D$42))+1,""),ROW()-1576)),"")</f>
        <v>https://www.comunidad.madrid/tacp/noticias</v>
      </c>
      <c r="D1588" s="99" t="s">
        <v>94</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Recursos especiales</v>
      </c>
      <c r="C1589" s="85" t="str" cm="1">
        <f t="array" ref="C1589">IFERROR(INDEX('03.Muestra'!$F$8:$F$42,SMALL(IF("Página Web"='03.Muestra'!$D$8:$D$42,ROW('03.Muestra'!$F$8:$F$42)-MIN(ROW('03.Muestra'!$D$8:$D$42))+1,""),ROW()-1576)),"")</f>
        <v>https://www.comunidad.madrid/tacp/novedades/publicacion-recursos-especiales-en-perfil-contratante</v>
      </c>
      <c r="D1589" s="99" t="s">
        <v>94</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Normativa</v>
      </c>
      <c r="C1590" s="85" t="str" cm="1">
        <f t="array" ref="C1590">IFERROR(INDEX('03.Muestra'!$F$8:$F$42,SMALL(IF("Página Web"='03.Muestra'!$D$8:$D$42,ROW('03.Muestra'!$F$8:$F$42)-MIN(ROW('03.Muestra'!$D$8:$D$42))+1,""),ROW()-1576)),"")</f>
        <v>https://www.comunidad.madrid/es/tacp/normativa</v>
      </c>
      <c r="D1590" s="99" t="s">
        <v>94</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Organos Competentes</v>
      </c>
      <c r="C1591" s="85" t="str" cm="1">
        <f t="array" ref="C1591">IFERROR(INDEX('03.Muestra'!$F$8:$F$42,SMALL(IF("Página Web"='03.Muestra'!$D$8:$D$42,ROW('03.Muestra'!$F$8:$F$42)-MIN(ROW('03.Muestra'!$D$8:$D$42))+1,""),ROW()-1576)),"")</f>
        <v>https://www.comunidad.madrid/es/tacp/otros-organos-competentes</v>
      </c>
      <c r="D1591" s="99" t="s">
        <v>94</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Contacto</v>
      </c>
      <c r="C1592" s="85" t="str" cm="1">
        <f t="array" ref="C1592">IFERROR(INDEX('03.Muestra'!$F$8:$F$42,SMALL(IF("Página Web"='03.Muestra'!$D$8:$D$42,ROW('03.Muestra'!$F$8:$F$42)-MIN(ROW('03.Muestra'!$D$8:$D$42))+1,""),ROW()-1576)),"")</f>
        <v>https://www.comunidad.madrid/es/tacp/contact</v>
      </c>
      <c r="D1592" s="99" t="s">
        <v>94</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Accesibilidad</v>
      </c>
      <c r="C1593" s="85" t="str" cm="1">
        <f t="array" ref="C1593">IFERROR(INDEX('03.Muestra'!$F$8:$F$42,SMALL(IF("Página Web"='03.Muestra'!$D$8:$D$42,ROW('03.Muestra'!$F$8:$F$42)-MIN(ROW('03.Muestra'!$D$8:$D$42))+1,""),ROW()-1576)),"")</f>
        <v>https://www.comunidad.madrid/es/tacp/accesibilidad</v>
      </c>
      <c r="D1593" s="99" t="s">
        <v>94</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ref="D1594:D1611" si="83">IF(AND(B1594&lt;&gt;"",C1594&lt;&gt;""),"N/T","")</f>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101</v>
      </c>
      <c r="B1614" s="23" t="s">
        <v>93</v>
      </c>
      <c r="C1614" s="24" t="s">
        <v>186</v>
      </c>
      <c r="D1614" s="25" t="s">
        <v>103</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https://www.comunidad.madrid/tacp/</v>
      </c>
      <c r="D1615" s="99" t="s">
        <v>106</v>
      </c>
      <c r="E1615" s="79" t="str">
        <f t="shared" ref="E1615:E1649" si="84">IF(D1615&lt;&gt;"",IF(AND(B1615&lt;&gt;"",C1615&lt;&gt;""),"","ERR"),"")</f>
        <v/>
      </c>
      <c r="F1615" s="86" t="s">
        <v>104</v>
      </c>
      <c r="G1615" s="87" t="s">
        <v>105</v>
      </c>
      <c r="H1615" s="88" t="s">
        <v>106</v>
      </c>
      <c r="I1615" s="89" t="s">
        <v>96</v>
      </c>
      <c r="J1615" s="90" t="s">
        <v>94</v>
      </c>
      <c r="K1615" s="179" t="s">
        <v>100</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Carta del presidente</v>
      </c>
      <c r="C1616" s="85" t="str" cm="1">
        <f t="array" ref="C1616">IFERROR(INDEX('03.Muestra'!$F$8:$F$42,SMALL(IF("Página Web"='03.Muestra'!$D$8:$D$42,ROW('03.Muestra'!$F$8:$F$42)-MIN(ROW('03.Muestra'!$D$8:$D$42))+1,""),ROW()-1614)),"")</f>
        <v>https://www.comunidad.madrid/tacp/carta-del-presidente</v>
      </c>
      <c r="D1616" s="99" t="s">
        <v>106</v>
      </c>
      <c r="E1616" s="79" t="str">
        <f t="shared" si="84"/>
        <v/>
      </c>
      <c r="F1616" s="91">
        <f ca="1">COUNTIF($D1615:INDIRECT("$D" &amp;  SUM(ROW()-1,'03.Muestra'!$D$45)-1),F1615)</f>
        <v>0</v>
      </c>
      <c r="G1616" s="91">
        <f ca="1">COUNTIF($D1615:INDIRECT("$D" &amp;  SUM(ROW()-1,'03.Muestra'!$D$45)-1),G1615)</f>
        <v>0</v>
      </c>
      <c r="H1616" s="91">
        <f ca="1">COUNTIF($D1615:INDIRECT("$D" &amp;  SUM(ROW()-1,'03.Muestra'!$D$45)-1),H1615)</f>
        <v>16</v>
      </c>
      <c r="I1616" s="91">
        <f ca="1">COUNTIF($D1615:INDIRECT("$D" &amp;  SUM(ROW()-1,'03.Muestra'!$D$45)-1),I1615)</f>
        <v>0</v>
      </c>
      <c r="J1616" s="91">
        <f ca="1">COUNTIF($D1615:INDIRECT("$D" &amp;  SUM(ROW()-1,'03.Muestra'!$D$45)-1),J1615)</f>
        <v>1</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Organización</v>
      </c>
      <c r="C1617" s="85" t="str" cm="1">
        <f t="array" ref="C1617">IFERROR(INDEX('03.Muestra'!$F$8:$F$42,SMALL(IF("Página Web"='03.Muestra'!$D$8:$D$42,ROW('03.Muestra'!$F$8:$F$42)-MIN(ROW('03.Muestra'!$D$8:$D$42))+1,""),ROW()-1614)),"")</f>
        <v>https://www.comunidad.madrid/tacp/el-tribunal/organización</v>
      </c>
      <c r="D1617" s="99" t="s">
        <v>106</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Acuerdos</v>
      </c>
      <c r="C1618" s="85" t="str" cm="1">
        <f t="array" ref="C1618">IFERROR(INDEX('03.Muestra'!$F$8:$F$42,SMALL(IF("Página Web"='03.Muestra'!$D$8:$D$42,ROW('03.Muestra'!$F$8:$F$42)-MIN(ROW('03.Muestra'!$D$8:$D$42))+1,""),ROW()-1614)),"")</f>
        <v>https://www.comunidad.madrid/tacp/el-tribunal/acuerdos-del-tacp</v>
      </c>
      <c r="D1618" s="99" t="s">
        <v>106</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Presentacion</v>
      </c>
      <c r="C1619" s="85" t="str" cm="1">
        <f t="array" ref="C1619">IFERROR(INDEX('03.Muestra'!$F$8:$F$42,SMALL(IF("Página Web"='03.Muestra'!$D$8:$D$42,ROW('03.Muestra'!$F$8:$F$42)-MIN(ROW('03.Muestra'!$D$8:$D$42))+1,""),ROW()-1614)),"")</f>
        <v>https://www.comunidad.madrid/tacp/el-tribunal/presentacion-electronica-e-impresos-normalizados</v>
      </c>
      <c r="D1619" s="99" t="s">
        <v>106</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Guia</v>
      </c>
      <c r="C1620" s="85" t="str" cm="1">
        <f t="array" ref="C1620">IFERROR(INDEX('03.Muestra'!$F$8:$F$42,SMALL(IF("Página Web"='03.Muestra'!$D$8:$D$42,ROW('03.Muestra'!$F$8:$F$42)-MIN(ROW('03.Muestra'!$D$8:$D$42))+1,""),ROW()-1614)),"")</f>
        <v>https://www.comunidad.madrid/tacp/el-tribunal/guia-informativa-sobre-la-regulacion-del-tribunal-de-contratacion-publica-y-los</v>
      </c>
      <c r="D1620" s="99" t="s">
        <v>106</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Preguntas</v>
      </c>
      <c r="C1621" s="85" t="str" cm="1">
        <f t="array" ref="C1621">IFERROR(INDEX('03.Muestra'!$F$8:$F$42,SMALL(IF("Página Web"='03.Muestra'!$D$8:$D$42,ROW('03.Muestra'!$F$8:$F$42)-MIN(ROW('03.Muestra'!$D$8:$D$42))+1,""),ROW()-1614)),"")</f>
        <v>https://www.comunidad.madrid/tacp/faq-page</v>
      </c>
      <c r="D1621" s="99" t="s">
        <v>106</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Histórico</v>
      </c>
      <c r="C1622" s="85" t="str" cm="1">
        <f t="array" ref="C1622">IFERROR(INDEX('03.Muestra'!$F$8:$F$42,SMALL(IF("Página Web"='03.Muestra'!$D$8:$D$42,ROW('03.Muestra'!$F$8:$F$42)-MIN(ROW('03.Muestra'!$D$8:$D$42))+1,""),ROW()-1614)),"")</f>
        <v>https://www.comunidad.madrid/tacp/el-tribunal/historico-resoluciones-de-las-reclamaciones-de-acceso-informacion-publica</v>
      </c>
      <c r="D1622" s="99" t="s">
        <v>106</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Estudios</v>
      </c>
      <c r="C1623" s="85" t="str" cm="1">
        <f t="array" ref="C1623">IFERROR(INDEX('03.Muestra'!$F$8:$F$42,SMALL(IF("Página Web"='03.Muestra'!$D$8:$D$42,ROW('03.Muestra'!$F$8:$F$42)-MIN(ROW('03.Muestra'!$D$8:$D$42))+1,""),ROW()-1614)),"")</f>
        <v>https://www.comunidad.madrid/tacp/estudios</v>
      </c>
      <c r="D1623" s="99" t="s">
        <v>106</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Memorias</v>
      </c>
      <c r="C1624" s="85" t="str" cm="1">
        <f t="array" ref="C1624">IFERROR(INDEX('03.Muestra'!$F$8:$F$42,SMALL(IF("Página Web"='03.Muestra'!$D$8:$D$42,ROW('03.Muestra'!$F$8:$F$42)-MIN(ROW('03.Muestra'!$D$8:$D$42))+1,""),ROW()-1614)),"")</f>
        <v>https://www.comunidad.madrid/tacp/memorias</v>
      </c>
      <c r="D1624" s="99" t="s">
        <v>106</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Busqueda Resol</v>
      </c>
      <c r="C1625" s="85" t="str" cm="1">
        <f t="array" ref="C1625">IFERROR(INDEX('03.Muestra'!$F$8:$F$42,SMALL(IF("Página Web"='03.Muestra'!$D$8:$D$42,ROW('03.Muestra'!$F$8:$F$42)-MIN(ROW('03.Muestra'!$D$8:$D$42))+1,""),ROW()-1614)),"")</f>
        <v>https://www.comunidad.madrid/tacp/busquedaresoluciones</v>
      </c>
      <c r="D1625" s="99" t="s">
        <v>106</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Novedades</v>
      </c>
      <c r="C1626" s="85" t="str" cm="1">
        <f t="array" ref="C1626">IFERROR(INDEX('03.Muestra'!$F$8:$F$42,SMALL(IF("Página Web"='03.Muestra'!$D$8:$D$42,ROW('03.Muestra'!$F$8:$F$42)-MIN(ROW('03.Muestra'!$D$8:$D$42))+1,""),ROW()-1614)),"")</f>
        <v>https://www.comunidad.madrid/tacp/noticias</v>
      </c>
      <c r="D1626" s="99" t="s">
        <v>106</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Recursos especiales</v>
      </c>
      <c r="C1627" s="85" t="str" cm="1">
        <f t="array" ref="C1627">IFERROR(INDEX('03.Muestra'!$F$8:$F$42,SMALL(IF("Página Web"='03.Muestra'!$D$8:$D$42,ROW('03.Muestra'!$F$8:$F$42)-MIN(ROW('03.Muestra'!$D$8:$D$42))+1,""),ROW()-1614)),"")</f>
        <v>https://www.comunidad.madrid/tacp/novedades/publicacion-recursos-especiales-en-perfil-contratante</v>
      </c>
      <c r="D1627" s="99" t="s">
        <v>106</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Normativa</v>
      </c>
      <c r="C1628" s="85" t="str" cm="1">
        <f t="array" ref="C1628">IFERROR(INDEX('03.Muestra'!$F$8:$F$42,SMALL(IF("Página Web"='03.Muestra'!$D$8:$D$42,ROW('03.Muestra'!$F$8:$F$42)-MIN(ROW('03.Muestra'!$D$8:$D$42))+1,""),ROW()-1614)),"")</f>
        <v>https://www.comunidad.madrid/es/tacp/normativa</v>
      </c>
      <c r="D1628" s="99" t="s">
        <v>106</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Organos Competentes</v>
      </c>
      <c r="C1629" s="85" t="str" cm="1">
        <f t="array" ref="C1629">IFERROR(INDEX('03.Muestra'!$F$8:$F$42,SMALL(IF("Página Web"='03.Muestra'!$D$8:$D$42,ROW('03.Muestra'!$F$8:$F$42)-MIN(ROW('03.Muestra'!$D$8:$D$42))+1,""),ROW()-1614)),"")</f>
        <v>https://www.comunidad.madrid/es/tacp/otros-organos-competentes</v>
      </c>
      <c r="D1629" s="99" t="s">
        <v>106</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Contacto</v>
      </c>
      <c r="C1630" s="85" t="str" cm="1">
        <f t="array" ref="C1630">IFERROR(INDEX('03.Muestra'!$F$8:$F$42,SMALL(IF("Página Web"='03.Muestra'!$D$8:$D$42,ROW('03.Muestra'!$F$8:$F$42)-MIN(ROW('03.Muestra'!$D$8:$D$42))+1,""),ROW()-1614)),"")</f>
        <v>https://www.comunidad.madrid/es/tacp/contact</v>
      </c>
      <c r="D1630" s="99" t="s">
        <v>94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Accesibilidad</v>
      </c>
      <c r="C1631" s="85" t="str" cm="1">
        <f t="array" ref="C1631">IFERROR(INDEX('03.Muestra'!$F$8:$F$42,SMALL(IF("Página Web"='03.Muestra'!$D$8:$D$42,ROW('03.Muestra'!$F$8:$F$42)-MIN(ROW('03.Muestra'!$D$8:$D$42))+1,""),ROW()-1614)),"")</f>
        <v>https://www.comunidad.madrid/es/tacp/accesibilidad</v>
      </c>
      <c r="D1631" s="99" t="s">
        <v>106</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ref="D1632:D1649" si="85">IF(AND(B1632&lt;&gt;"",C1632&lt;&gt;""),"N/T","")</f>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101</v>
      </c>
      <c r="B1652" s="23" t="s">
        <v>93</v>
      </c>
      <c r="C1652" s="24" t="s">
        <v>187</v>
      </c>
      <c r="D1652" s="25" t="s">
        <v>103</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https://www.comunidad.madrid/tacp/</v>
      </c>
      <c r="D1653" s="99" t="s">
        <v>94</v>
      </c>
      <c r="E1653" s="79" t="str">
        <f t="shared" ref="E1653:E1687" si="86">IF(D1653&lt;&gt;"",IF(AND(B1653&lt;&gt;"",C1653&lt;&gt;""),"","ERR"),"")</f>
        <v/>
      </c>
      <c r="F1653" s="86" t="s">
        <v>104</v>
      </c>
      <c r="G1653" s="87" t="s">
        <v>105</v>
      </c>
      <c r="H1653" s="88" t="s">
        <v>106</v>
      </c>
      <c r="I1653" s="89" t="s">
        <v>96</v>
      </c>
      <c r="J1653" s="90" t="s">
        <v>94</v>
      </c>
      <c r="K1653" s="179" t="s">
        <v>100</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Carta del presidente</v>
      </c>
      <c r="C1654" s="85" t="str" cm="1">
        <f t="array" ref="C1654">IFERROR(INDEX('03.Muestra'!$F$8:$F$42,SMALL(IF("Página Web"='03.Muestra'!$D$8:$D$42,ROW('03.Muestra'!$F$8:$F$42)-MIN(ROW('03.Muestra'!$D$8:$D$42))+1,""),ROW()-1652)),"")</f>
        <v>https://www.comunidad.madrid/tacp/carta-del-presidente</v>
      </c>
      <c r="D1654" s="99" t="s">
        <v>106</v>
      </c>
      <c r="E1654" s="79" t="str">
        <f t="shared" si="86"/>
        <v/>
      </c>
      <c r="F1654" s="91">
        <f ca="1">COUNTIF($D1653:INDIRECT("$D" &amp;  SUM(ROW()-1,'03.Muestra'!$D$45)-1),F1653)</f>
        <v>0</v>
      </c>
      <c r="G1654" s="91">
        <f ca="1">COUNTIF($D1653:INDIRECT("$D" &amp;  SUM(ROW()-1,'03.Muestra'!$D$45)-1),G1653)</f>
        <v>0</v>
      </c>
      <c r="H1654" s="91">
        <f ca="1">COUNTIF($D1653:INDIRECT("$D" &amp;  SUM(ROW()-1,'03.Muestra'!$D$45)-1),H1653)</f>
        <v>14</v>
      </c>
      <c r="I1654" s="91">
        <f ca="1">COUNTIF($D1653:INDIRECT("$D" &amp;  SUM(ROW()-1,'03.Muestra'!$D$45)-1),I1653)</f>
        <v>0</v>
      </c>
      <c r="J1654" s="91">
        <f ca="1">COUNTIF($D1653:INDIRECT("$D" &amp;  SUM(ROW()-1,'03.Muestra'!$D$45)-1),J1653)</f>
        <v>3</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Organización</v>
      </c>
      <c r="C1655" s="85" t="str" cm="1">
        <f t="array" ref="C1655">IFERROR(INDEX('03.Muestra'!$F$8:$F$42,SMALL(IF("Página Web"='03.Muestra'!$D$8:$D$42,ROW('03.Muestra'!$F$8:$F$42)-MIN(ROW('03.Muestra'!$D$8:$D$42))+1,""),ROW()-1652)),"")</f>
        <v>https://www.comunidad.madrid/tacp/el-tribunal/organización</v>
      </c>
      <c r="D1655" s="99" t="s">
        <v>106</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Acuerdos</v>
      </c>
      <c r="C1656" s="85" t="str" cm="1">
        <f t="array" ref="C1656">IFERROR(INDEX('03.Muestra'!$F$8:$F$42,SMALL(IF("Página Web"='03.Muestra'!$D$8:$D$42,ROW('03.Muestra'!$F$8:$F$42)-MIN(ROW('03.Muestra'!$D$8:$D$42))+1,""),ROW()-1652)),"")</f>
        <v>https://www.comunidad.madrid/tacp/el-tribunal/acuerdos-del-tacp</v>
      </c>
      <c r="D1656" s="99" t="s">
        <v>106</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Presentacion</v>
      </c>
      <c r="C1657" s="85" t="str" cm="1">
        <f t="array" ref="C1657">IFERROR(INDEX('03.Muestra'!$F$8:$F$42,SMALL(IF("Página Web"='03.Muestra'!$D$8:$D$42,ROW('03.Muestra'!$F$8:$F$42)-MIN(ROW('03.Muestra'!$D$8:$D$42))+1,""),ROW()-1652)),"")</f>
        <v>https://www.comunidad.madrid/tacp/el-tribunal/presentacion-electronica-e-impresos-normalizados</v>
      </c>
      <c r="D1657" s="99" t="s">
        <v>106</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Guia</v>
      </c>
      <c r="C1658" s="85" t="str" cm="1">
        <f t="array" ref="C1658">IFERROR(INDEX('03.Muestra'!$F$8:$F$42,SMALL(IF("Página Web"='03.Muestra'!$D$8:$D$42,ROW('03.Muestra'!$F$8:$F$42)-MIN(ROW('03.Muestra'!$D$8:$D$42))+1,""),ROW()-1652)),"")</f>
        <v>https://www.comunidad.madrid/tacp/el-tribunal/guia-informativa-sobre-la-regulacion-del-tribunal-de-contratacion-publica-y-los</v>
      </c>
      <c r="D1658" s="99" t="s">
        <v>106</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Preguntas</v>
      </c>
      <c r="C1659" s="85" t="str" cm="1">
        <f t="array" ref="C1659">IFERROR(INDEX('03.Muestra'!$F$8:$F$42,SMALL(IF("Página Web"='03.Muestra'!$D$8:$D$42,ROW('03.Muestra'!$F$8:$F$42)-MIN(ROW('03.Muestra'!$D$8:$D$42))+1,""),ROW()-1652)),"")</f>
        <v>https://www.comunidad.madrid/tacp/faq-page</v>
      </c>
      <c r="D1659" s="99" t="s">
        <v>106</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Histórico</v>
      </c>
      <c r="C1660" s="85" t="str" cm="1">
        <f t="array" ref="C1660">IFERROR(INDEX('03.Muestra'!$F$8:$F$42,SMALL(IF("Página Web"='03.Muestra'!$D$8:$D$42,ROW('03.Muestra'!$F$8:$F$42)-MIN(ROW('03.Muestra'!$D$8:$D$42))+1,""),ROW()-1652)),"")</f>
        <v>https://www.comunidad.madrid/tacp/el-tribunal/historico-resoluciones-de-las-reclamaciones-de-acceso-informacion-publica</v>
      </c>
      <c r="D1660" s="99" t="s">
        <v>106</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Estudios</v>
      </c>
      <c r="C1661" s="85" t="str" cm="1">
        <f t="array" ref="C1661">IFERROR(INDEX('03.Muestra'!$F$8:$F$42,SMALL(IF("Página Web"='03.Muestra'!$D$8:$D$42,ROW('03.Muestra'!$F$8:$F$42)-MIN(ROW('03.Muestra'!$D$8:$D$42))+1,""),ROW()-1652)),"")</f>
        <v>https://www.comunidad.madrid/tacp/estudios</v>
      </c>
      <c r="D1661" s="99" t="s">
        <v>106</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Memorias</v>
      </c>
      <c r="C1662" s="85" t="str" cm="1">
        <f t="array" ref="C1662">IFERROR(INDEX('03.Muestra'!$F$8:$F$42,SMALL(IF("Página Web"='03.Muestra'!$D$8:$D$42,ROW('03.Muestra'!$F$8:$F$42)-MIN(ROW('03.Muestra'!$D$8:$D$42))+1,""),ROW()-1652)),"")</f>
        <v>https://www.comunidad.madrid/tacp/memorias</v>
      </c>
      <c r="D1662" s="99" t="s">
        <v>106</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Busqueda Resol</v>
      </c>
      <c r="C1663" s="85" t="str" cm="1">
        <f t="array" ref="C1663">IFERROR(INDEX('03.Muestra'!$F$8:$F$42,SMALL(IF("Página Web"='03.Muestra'!$D$8:$D$42,ROW('03.Muestra'!$F$8:$F$42)-MIN(ROW('03.Muestra'!$D$8:$D$42))+1,""),ROW()-1652)),"")</f>
        <v>https://www.comunidad.madrid/tacp/busquedaresoluciones</v>
      </c>
      <c r="D1663" s="99" t="s">
        <v>94</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Novedades</v>
      </c>
      <c r="C1664" s="85" t="str" cm="1">
        <f t="array" ref="C1664">IFERROR(INDEX('03.Muestra'!$F$8:$F$42,SMALL(IF("Página Web"='03.Muestra'!$D$8:$D$42,ROW('03.Muestra'!$F$8:$F$42)-MIN(ROW('03.Muestra'!$D$8:$D$42))+1,""),ROW()-1652)),"")</f>
        <v>https://www.comunidad.madrid/tacp/noticias</v>
      </c>
      <c r="D1664" s="99" t="s">
        <v>106</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Recursos especiales</v>
      </c>
      <c r="C1665" s="85" t="str" cm="1">
        <f t="array" ref="C1665">IFERROR(INDEX('03.Muestra'!$F$8:$F$42,SMALL(IF("Página Web"='03.Muestra'!$D$8:$D$42,ROW('03.Muestra'!$F$8:$F$42)-MIN(ROW('03.Muestra'!$D$8:$D$42))+1,""),ROW()-1652)),"")</f>
        <v>https://www.comunidad.madrid/tacp/novedades/publicacion-recursos-especiales-en-perfil-contratante</v>
      </c>
      <c r="D1665" s="99" t="s">
        <v>106</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Normativa</v>
      </c>
      <c r="C1666" s="85" t="str" cm="1">
        <f t="array" ref="C1666">IFERROR(INDEX('03.Muestra'!$F$8:$F$42,SMALL(IF("Página Web"='03.Muestra'!$D$8:$D$42,ROW('03.Muestra'!$F$8:$F$42)-MIN(ROW('03.Muestra'!$D$8:$D$42))+1,""),ROW()-1652)),"")</f>
        <v>https://www.comunidad.madrid/es/tacp/normativa</v>
      </c>
      <c r="D1666" s="99" t="s">
        <v>106</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Organos Competentes</v>
      </c>
      <c r="C1667" s="85" t="str" cm="1">
        <f t="array" ref="C1667">IFERROR(INDEX('03.Muestra'!$F$8:$F$42,SMALL(IF("Página Web"='03.Muestra'!$D$8:$D$42,ROW('03.Muestra'!$F$8:$F$42)-MIN(ROW('03.Muestra'!$D$8:$D$42))+1,""),ROW()-1652)),"")</f>
        <v>https://www.comunidad.madrid/es/tacp/otros-organos-competentes</v>
      </c>
      <c r="D1667" s="99" t="s">
        <v>106</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Contacto</v>
      </c>
      <c r="C1668" s="85" t="str" cm="1">
        <f t="array" ref="C1668">IFERROR(INDEX('03.Muestra'!$F$8:$F$42,SMALL(IF("Página Web"='03.Muestra'!$D$8:$D$42,ROW('03.Muestra'!$F$8:$F$42)-MIN(ROW('03.Muestra'!$D$8:$D$42))+1,""),ROW()-1652)),"")</f>
        <v>https://www.comunidad.madrid/es/tacp/contact</v>
      </c>
      <c r="D1668" s="99" t="s">
        <v>94</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Accesibilidad</v>
      </c>
      <c r="C1669" s="85" t="str" cm="1">
        <f t="array" ref="C1669">IFERROR(INDEX('03.Muestra'!$F$8:$F$42,SMALL(IF("Página Web"='03.Muestra'!$D$8:$D$42,ROW('03.Muestra'!$F$8:$F$42)-MIN(ROW('03.Muestra'!$D$8:$D$42))+1,""),ROW()-1652)),"")</f>
        <v>https://www.comunidad.madrid/es/tacp/accesibilidad</v>
      </c>
      <c r="D1669" s="99" t="s">
        <v>106</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ref="D1670:D1687" si="87">IF(AND(B1670&lt;&gt;"",C1670&lt;&gt;""),"N/T","")</f>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101</v>
      </c>
      <c r="B1690" s="23" t="s">
        <v>93</v>
      </c>
      <c r="C1690" s="24" t="s">
        <v>188</v>
      </c>
      <c r="D1690" s="25" t="s">
        <v>103</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https://www.comunidad.madrid/tacp/</v>
      </c>
      <c r="D1691" s="99" t="s">
        <v>106</v>
      </c>
      <c r="E1691" s="79" t="str">
        <f t="shared" ref="E1691:E1725" si="88">IF(D1691&lt;&gt;"",IF(AND(B1691&lt;&gt;"",C1691&lt;&gt;""),"","ERR"),"")</f>
        <v/>
      </c>
      <c r="F1691" s="86" t="s">
        <v>104</v>
      </c>
      <c r="G1691" s="87" t="s">
        <v>105</v>
      </c>
      <c r="H1691" s="88" t="s">
        <v>106</v>
      </c>
      <c r="I1691" s="89" t="s">
        <v>96</v>
      </c>
      <c r="J1691" s="90" t="s">
        <v>94</v>
      </c>
      <c r="K1691" s="179" t="s">
        <v>100</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Carta del presidente</v>
      </c>
      <c r="C1692" s="85" t="str" cm="1">
        <f t="array" ref="C1692">IFERROR(INDEX('03.Muestra'!$F$8:$F$42,SMALL(IF("Página Web"='03.Muestra'!$D$8:$D$42,ROW('03.Muestra'!$F$8:$F$42)-MIN(ROW('03.Muestra'!$D$8:$D$42))+1,""),ROW()-1690)),"")</f>
        <v>https://www.comunidad.madrid/tacp/carta-del-presidente</v>
      </c>
      <c r="D1692" s="99" t="s">
        <v>106</v>
      </c>
      <c r="E1692" s="79" t="str">
        <f t="shared" si="88"/>
        <v/>
      </c>
      <c r="F1692" s="91">
        <f ca="1">COUNTIF($D1691:INDIRECT("$D" &amp;  SUM(ROW()-1,'03.Muestra'!$D$45)-1),F1691)</f>
        <v>0</v>
      </c>
      <c r="G1692" s="91">
        <f ca="1">COUNTIF($D1691:INDIRECT("$D" &amp;  SUM(ROW()-1,'03.Muestra'!$D$45)-1),G1691)</f>
        <v>0</v>
      </c>
      <c r="H1692" s="91">
        <f ca="1">COUNTIF($D1691:INDIRECT("$D" &amp;  SUM(ROW()-1,'03.Muestra'!$D$45)-1),H1691)</f>
        <v>16</v>
      </c>
      <c r="I1692" s="91">
        <f ca="1">COUNTIF($D1691:INDIRECT("$D" &amp;  SUM(ROW()-1,'03.Muestra'!$D$45)-1),I1691)</f>
        <v>1</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Organización</v>
      </c>
      <c r="C1693" s="85" t="str" cm="1">
        <f t="array" ref="C1693">IFERROR(INDEX('03.Muestra'!$F$8:$F$42,SMALL(IF("Página Web"='03.Muestra'!$D$8:$D$42,ROW('03.Muestra'!$F$8:$F$42)-MIN(ROW('03.Muestra'!$D$8:$D$42))+1,""),ROW()-1690)),"")</f>
        <v>https://www.comunidad.madrid/tacp/el-tribunal/organización</v>
      </c>
      <c r="D1693" s="99" t="s">
        <v>106</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Acuerdos</v>
      </c>
      <c r="C1694" s="85" t="str" cm="1">
        <f t="array" ref="C1694">IFERROR(INDEX('03.Muestra'!$F$8:$F$42,SMALL(IF("Página Web"='03.Muestra'!$D$8:$D$42,ROW('03.Muestra'!$F$8:$F$42)-MIN(ROW('03.Muestra'!$D$8:$D$42))+1,""),ROW()-1690)),"")</f>
        <v>https://www.comunidad.madrid/tacp/el-tribunal/acuerdos-del-tacp</v>
      </c>
      <c r="D1694" s="99" t="s">
        <v>106</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Presentacion</v>
      </c>
      <c r="C1695" s="85" t="str" cm="1">
        <f t="array" ref="C1695">IFERROR(INDEX('03.Muestra'!$F$8:$F$42,SMALL(IF("Página Web"='03.Muestra'!$D$8:$D$42,ROW('03.Muestra'!$F$8:$F$42)-MIN(ROW('03.Muestra'!$D$8:$D$42))+1,""),ROW()-1690)),"")</f>
        <v>https://www.comunidad.madrid/tacp/el-tribunal/presentacion-electronica-e-impresos-normalizados</v>
      </c>
      <c r="D1695" s="99" t="s">
        <v>106</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Guia</v>
      </c>
      <c r="C1696" s="85" t="str" cm="1">
        <f t="array" ref="C1696">IFERROR(INDEX('03.Muestra'!$F$8:$F$42,SMALL(IF("Página Web"='03.Muestra'!$D$8:$D$42,ROW('03.Muestra'!$F$8:$F$42)-MIN(ROW('03.Muestra'!$D$8:$D$42))+1,""),ROW()-1690)),"")</f>
        <v>https://www.comunidad.madrid/tacp/el-tribunal/guia-informativa-sobre-la-regulacion-del-tribunal-de-contratacion-publica-y-los</v>
      </c>
      <c r="D1696" s="99" t="s">
        <v>106</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Preguntas</v>
      </c>
      <c r="C1697" s="85" t="str" cm="1">
        <f t="array" ref="C1697">IFERROR(INDEX('03.Muestra'!$F$8:$F$42,SMALL(IF("Página Web"='03.Muestra'!$D$8:$D$42,ROW('03.Muestra'!$F$8:$F$42)-MIN(ROW('03.Muestra'!$D$8:$D$42))+1,""),ROW()-1690)),"")</f>
        <v>https://www.comunidad.madrid/tacp/faq-page</v>
      </c>
      <c r="D1697" s="99" t="s">
        <v>106</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Histórico</v>
      </c>
      <c r="C1698" s="85" t="str" cm="1">
        <f t="array" ref="C1698">IFERROR(INDEX('03.Muestra'!$F$8:$F$42,SMALL(IF("Página Web"='03.Muestra'!$D$8:$D$42,ROW('03.Muestra'!$F$8:$F$42)-MIN(ROW('03.Muestra'!$D$8:$D$42))+1,""),ROW()-1690)),"")</f>
        <v>https://www.comunidad.madrid/tacp/el-tribunal/historico-resoluciones-de-las-reclamaciones-de-acceso-informacion-publica</v>
      </c>
      <c r="D1698" s="99" t="s">
        <v>106</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Estudios</v>
      </c>
      <c r="C1699" s="85" t="str" cm="1">
        <f t="array" ref="C1699">IFERROR(INDEX('03.Muestra'!$F$8:$F$42,SMALL(IF("Página Web"='03.Muestra'!$D$8:$D$42,ROW('03.Muestra'!$F$8:$F$42)-MIN(ROW('03.Muestra'!$D$8:$D$42))+1,""),ROW()-1690)),"")</f>
        <v>https://www.comunidad.madrid/tacp/estudios</v>
      </c>
      <c r="D1699" s="99" t="s">
        <v>106</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Memorias</v>
      </c>
      <c r="C1700" s="85" t="str" cm="1">
        <f t="array" ref="C1700">IFERROR(INDEX('03.Muestra'!$F$8:$F$42,SMALL(IF("Página Web"='03.Muestra'!$D$8:$D$42,ROW('03.Muestra'!$F$8:$F$42)-MIN(ROW('03.Muestra'!$D$8:$D$42))+1,""),ROW()-1690)),"")</f>
        <v>https://www.comunidad.madrid/tacp/memorias</v>
      </c>
      <c r="D1700" s="99" t="s">
        <v>106</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Busqueda Resol</v>
      </c>
      <c r="C1701" s="85" t="str" cm="1">
        <f t="array" ref="C1701">IFERROR(INDEX('03.Muestra'!$F$8:$F$42,SMALL(IF("Página Web"='03.Muestra'!$D$8:$D$42,ROW('03.Muestra'!$F$8:$F$42)-MIN(ROW('03.Muestra'!$D$8:$D$42))+1,""),ROW()-1690)),"")</f>
        <v>https://www.comunidad.madrid/tacp/busquedaresoluciones</v>
      </c>
      <c r="D1701" s="99" t="s">
        <v>106</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Novedades</v>
      </c>
      <c r="C1702" s="85" t="str" cm="1">
        <f t="array" ref="C1702">IFERROR(INDEX('03.Muestra'!$F$8:$F$42,SMALL(IF("Página Web"='03.Muestra'!$D$8:$D$42,ROW('03.Muestra'!$F$8:$F$42)-MIN(ROW('03.Muestra'!$D$8:$D$42))+1,""),ROW()-1690)),"")</f>
        <v>https://www.comunidad.madrid/tacp/noticias</v>
      </c>
      <c r="D1702" s="99" t="s">
        <v>106</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Recursos especiales</v>
      </c>
      <c r="C1703" s="85" t="str" cm="1">
        <f t="array" ref="C1703">IFERROR(INDEX('03.Muestra'!$F$8:$F$42,SMALL(IF("Página Web"='03.Muestra'!$D$8:$D$42,ROW('03.Muestra'!$F$8:$F$42)-MIN(ROW('03.Muestra'!$D$8:$D$42))+1,""),ROW()-1690)),"")</f>
        <v>https://www.comunidad.madrid/tacp/novedades/publicacion-recursos-especiales-en-perfil-contratante</v>
      </c>
      <c r="D1703" s="99" t="s">
        <v>106</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Normativa</v>
      </c>
      <c r="C1704" s="85" t="str" cm="1">
        <f t="array" ref="C1704">IFERROR(INDEX('03.Muestra'!$F$8:$F$42,SMALL(IF("Página Web"='03.Muestra'!$D$8:$D$42,ROW('03.Muestra'!$F$8:$F$42)-MIN(ROW('03.Muestra'!$D$8:$D$42))+1,""),ROW()-1690)),"")</f>
        <v>https://www.comunidad.madrid/es/tacp/normativa</v>
      </c>
      <c r="D1704" s="99" t="s">
        <v>106</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Organos Competentes</v>
      </c>
      <c r="C1705" s="85" t="str" cm="1">
        <f t="array" ref="C1705">IFERROR(INDEX('03.Muestra'!$F$8:$F$42,SMALL(IF("Página Web"='03.Muestra'!$D$8:$D$42,ROW('03.Muestra'!$F$8:$F$42)-MIN(ROW('03.Muestra'!$D$8:$D$42))+1,""),ROW()-1690)),"")</f>
        <v>https://www.comunidad.madrid/es/tacp/otros-organos-competentes</v>
      </c>
      <c r="D1705" s="99" t="s">
        <v>106</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Contacto</v>
      </c>
      <c r="C1706" s="85" t="str" cm="1">
        <f t="array" ref="C1706">IFERROR(INDEX('03.Muestra'!$F$8:$F$42,SMALL(IF("Página Web"='03.Muestra'!$D$8:$D$42,ROW('03.Muestra'!$F$8:$F$42)-MIN(ROW('03.Muestra'!$D$8:$D$42))+1,""),ROW()-1690)),"")</f>
        <v>https://www.comunidad.madrid/es/tacp/contact</v>
      </c>
      <c r="D1706" s="99" t="s">
        <v>96</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Accesibilidad</v>
      </c>
      <c r="C1707" s="85" t="str" cm="1">
        <f t="array" ref="C1707">IFERROR(INDEX('03.Muestra'!$F$8:$F$42,SMALL(IF("Página Web"='03.Muestra'!$D$8:$D$42,ROW('03.Muestra'!$F$8:$F$42)-MIN(ROW('03.Muestra'!$D$8:$D$42))+1,""),ROW()-1690)),"")</f>
        <v>https://www.comunidad.madrid/es/tacp/accesibilidad</v>
      </c>
      <c r="D1707" s="99" t="s">
        <v>106</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ref="D1708:D1725" si="89">IF(AND(B1708&lt;&gt;"",C1708&lt;&gt;""),"N/T","")</f>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101</v>
      </c>
      <c r="B1728" s="23" t="s">
        <v>93</v>
      </c>
      <c r="C1728" s="24" t="s">
        <v>189</v>
      </c>
      <c r="D1728" s="25" t="s">
        <v>103</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https://www.comunidad.madrid/tacp/</v>
      </c>
      <c r="D1729" s="99" t="s">
        <v>106</v>
      </c>
      <c r="E1729" s="79" t="str">
        <f t="shared" ref="E1729:E1763" si="90">IF(D1729&lt;&gt;"",IF(AND(B1729&lt;&gt;"",C1729&lt;&gt;""),"","ERR"),"")</f>
        <v/>
      </c>
      <c r="F1729" s="86" t="s">
        <v>104</v>
      </c>
      <c r="G1729" s="87" t="s">
        <v>105</v>
      </c>
      <c r="H1729" s="88" t="s">
        <v>106</v>
      </c>
      <c r="I1729" s="89" t="s">
        <v>96</v>
      </c>
      <c r="J1729" s="90" t="s">
        <v>94</v>
      </c>
      <c r="K1729" s="179" t="s">
        <v>100</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Carta del presidente</v>
      </c>
      <c r="C1730" s="85" t="str" cm="1">
        <f t="array" ref="C1730">IFERROR(INDEX('03.Muestra'!$F$8:$F$42,SMALL(IF("Página Web"='03.Muestra'!$D$8:$D$42,ROW('03.Muestra'!$F$8:$F$42)-MIN(ROW('03.Muestra'!$D$8:$D$42))+1,""),ROW()-1728)),"")</f>
        <v>https://www.comunidad.madrid/tacp/carta-del-presidente</v>
      </c>
      <c r="D1730" s="99" t="s">
        <v>106</v>
      </c>
      <c r="E1730" s="79" t="str">
        <f t="shared" si="90"/>
        <v/>
      </c>
      <c r="F1730" s="91">
        <f ca="1">COUNTIF($D1729:INDIRECT("$D" &amp;  SUM(ROW()-1,'03.Muestra'!$D$45)-1),F1729)</f>
        <v>0</v>
      </c>
      <c r="G1730" s="91">
        <f ca="1">COUNTIF($D1729:INDIRECT("$D" &amp;  SUM(ROW()-1,'03.Muestra'!$D$45)-1),G1729)</f>
        <v>0</v>
      </c>
      <c r="H1730" s="91">
        <f ca="1">COUNTIF($D1729:INDIRECT("$D" &amp;  SUM(ROW()-1,'03.Muestra'!$D$45)-1),H1729)</f>
        <v>17</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Organización</v>
      </c>
      <c r="C1731" s="85" t="str" cm="1">
        <f t="array" ref="C1731">IFERROR(INDEX('03.Muestra'!$F$8:$F$42,SMALL(IF("Página Web"='03.Muestra'!$D$8:$D$42,ROW('03.Muestra'!$F$8:$F$42)-MIN(ROW('03.Muestra'!$D$8:$D$42))+1,""),ROW()-1728)),"")</f>
        <v>https://www.comunidad.madrid/tacp/el-tribunal/organización</v>
      </c>
      <c r="D1731" s="99" t="s">
        <v>106</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Acuerdos</v>
      </c>
      <c r="C1732" s="85" t="str" cm="1">
        <f t="array" ref="C1732">IFERROR(INDEX('03.Muestra'!$F$8:$F$42,SMALL(IF("Página Web"='03.Muestra'!$D$8:$D$42,ROW('03.Muestra'!$F$8:$F$42)-MIN(ROW('03.Muestra'!$D$8:$D$42))+1,""),ROW()-1728)),"")</f>
        <v>https://www.comunidad.madrid/tacp/el-tribunal/acuerdos-del-tacp</v>
      </c>
      <c r="D1732" s="99" t="s">
        <v>106</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Presentacion</v>
      </c>
      <c r="C1733" s="85" t="str" cm="1">
        <f t="array" ref="C1733">IFERROR(INDEX('03.Muestra'!$F$8:$F$42,SMALL(IF("Página Web"='03.Muestra'!$D$8:$D$42,ROW('03.Muestra'!$F$8:$F$42)-MIN(ROW('03.Muestra'!$D$8:$D$42))+1,""),ROW()-1728)),"")</f>
        <v>https://www.comunidad.madrid/tacp/el-tribunal/presentacion-electronica-e-impresos-normalizados</v>
      </c>
      <c r="D1733" s="99" t="s">
        <v>106</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Guia</v>
      </c>
      <c r="C1734" s="85" t="str" cm="1">
        <f t="array" ref="C1734">IFERROR(INDEX('03.Muestra'!$F$8:$F$42,SMALL(IF("Página Web"='03.Muestra'!$D$8:$D$42,ROW('03.Muestra'!$F$8:$F$42)-MIN(ROW('03.Muestra'!$D$8:$D$42))+1,""),ROW()-1728)),"")</f>
        <v>https://www.comunidad.madrid/tacp/el-tribunal/guia-informativa-sobre-la-regulacion-del-tribunal-de-contratacion-publica-y-los</v>
      </c>
      <c r="D1734" s="99" t="s">
        <v>106</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Preguntas</v>
      </c>
      <c r="C1735" s="85" t="str" cm="1">
        <f t="array" ref="C1735">IFERROR(INDEX('03.Muestra'!$F$8:$F$42,SMALL(IF("Página Web"='03.Muestra'!$D$8:$D$42,ROW('03.Muestra'!$F$8:$F$42)-MIN(ROW('03.Muestra'!$D$8:$D$42))+1,""),ROW()-1728)),"")</f>
        <v>https://www.comunidad.madrid/tacp/faq-page</v>
      </c>
      <c r="D1735" s="99" t="s">
        <v>106</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Histórico</v>
      </c>
      <c r="C1736" s="85" t="str" cm="1">
        <f t="array" ref="C1736">IFERROR(INDEX('03.Muestra'!$F$8:$F$42,SMALL(IF("Página Web"='03.Muestra'!$D$8:$D$42,ROW('03.Muestra'!$F$8:$F$42)-MIN(ROW('03.Muestra'!$D$8:$D$42))+1,""),ROW()-1728)),"")</f>
        <v>https://www.comunidad.madrid/tacp/el-tribunal/historico-resoluciones-de-las-reclamaciones-de-acceso-informacion-publica</v>
      </c>
      <c r="D1736" s="99" t="s">
        <v>106</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Estudios</v>
      </c>
      <c r="C1737" s="85" t="str" cm="1">
        <f t="array" ref="C1737">IFERROR(INDEX('03.Muestra'!$F$8:$F$42,SMALL(IF("Página Web"='03.Muestra'!$D$8:$D$42,ROW('03.Muestra'!$F$8:$F$42)-MIN(ROW('03.Muestra'!$D$8:$D$42))+1,""),ROW()-1728)),"")</f>
        <v>https://www.comunidad.madrid/tacp/estudios</v>
      </c>
      <c r="D1737" s="99" t="s">
        <v>106</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Memorias</v>
      </c>
      <c r="C1738" s="85" t="str" cm="1">
        <f t="array" ref="C1738">IFERROR(INDEX('03.Muestra'!$F$8:$F$42,SMALL(IF("Página Web"='03.Muestra'!$D$8:$D$42,ROW('03.Muestra'!$F$8:$F$42)-MIN(ROW('03.Muestra'!$D$8:$D$42))+1,""),ROW()-1728)),"")</f>
        <v>https://www.comunidad.madrid/tacp/memorias</v>
      </c>
      <c r="D1738" s="99" t="s">
        <v>106</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Busqueda Resol</v>
      </c>
      <c r="C1739" s="85" t="str" cm="1">
        <f t="array" ref="C1739">IFERROR(INDEX('03.Muestra'!$F$8:$F$42,SMALL(IF("Página Web"='03.Muestra'!$D$8:$D$42,ROW('03.Muestra'!$F$8:$F$42)-MIN(ROW('03.Muestra'!$D$8:$D$42))+1,""),ROW()-1728)),"")</f>
        <v>https://www.comunidad.madrid/tacp/busquedaresoluciones</v>
      </c>
      <c r="D1739" s="99" t="s">
        <v>106</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Novedades</v>
      </c>
      <c r="C1740" s="85" t="str" cm="1">
        <f t="array" ref="C1740">IFERROR(INDEX('03.Muestra'!$F$8:$F$42,SMALL(IF("Página Web"='03.Muestra'!$D$8:$D$42,ROW('03.Muestra'!$F$8:$F$42)-MIN(ROW('03.Muestra'!$D$8:$D$42))+1,""),ROW()-1728)),"")</f>
        <v>https://www.comunidad.madrid/tacp/noticias</v>
      </c>
      <c r="D1740" s="99" t="s">
        <v>106</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Recursos especiales</v>
      </c>
      <c r="C1741" s="85" t="str" cm="1">
        <f t="array" ref="C1741">IFERROR(INDEX('03.Muestra'!$F$8:$F$42,SMALL(IF("Página Web"='03.Muestra'!$D$8:$D$42,ROW('03.Muestra'!$F$8:$F$42)-MIN(ROW('03.Muestra'!$D$8:$D$42))+1,""),ROW()-1728)),"")</f>
        <v>https://www.comunidad.madrid/tacp/novedades/publicacion-recursos-especiales-en-perfil-contratante</v>
      </c>
      <c r="D1741" s="99" t="s">
        <v>106</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Normativa</v>
      </c>
      <c r="C1742" s="85" t="str" cm="1">
        <f t="array" ref="C1742">IFERROR(INDEX('03.Muestra'!$F$8:$F$42,SMALL(IF("Página Web"='03.Muestra'!$D$8:$D$42,ROW('03.Muestra'!$F$8:$F$42)-MIN(ROW('03.Muestra'!$D$8:$D$42))+1,""),ROW()-1728)),"")</f>
        <v>https://www.comunidad.madrid/es/tacp/normativa</v>
      </c>
      <c r="D1742" s="99" t="s">
        <v>106</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Organos Competentes</v>
      </c>
      <c r="C1743" s="85" t="str" cm="1">
        <f t="array" ref="C1743">IFERROR(INDEX('03.Muestra'!$F$8:$F$42,SMALL(IF("Página Web"='03.Muestra'!$D$8:$D$42,ROW('03.Muestra'!$F$8:$F$42)-MIN(ROW('03.Muestra'!$D$8:$D$42))+1,""),ROW()-1728)),"")</f>
        <v>https://www.comunidad.madrid/es/tacp/otros-organos-competentes</v>
      </c>
      <c r="D1743" s="99" t="s">
        <v>106</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Contacto</v>
      </c>
      <c r="C1744" s="85" t="str" cm="1">
        <f t="array" ref="C1744">IFERROR(INDEX('03.Muestra'!$F$8:$F$42,SMALL(IF("Página Web"='03.Muestra'!$D$8:$D$42,ROW('03.Muestra'!$F$8:$F$42)-MIN(ROW('03.Muestra'!$D$8:$D$42))+1,""),ROW()-1728)),"")</f>
        <v>https://www.comunidad.madrid/es/tacp/contact</v>
      </c>
      <c r="D1744" s="99" t="s">
        <v>106</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Accesibilidad</v>
      </c>
      <c r="C1745" s="85" t="str" cm="1">
        <f t="array" ref="C1745">IFERROR(INDEX('03.Muestra'!$F$8:$F$42,SMALL(IF("Página Web"='03.Muestra'!$D$8:$D$42,ROW('03.Muestra'!$F$8:$F$42)-MIN(ROW('03.Muestra'!$D$8:$D$42))+1,""),ROW()-1728)),"")</f>
        <v>https://www.comunidad.madrid/es/tacp/accesibilidad</v>
      </c>
      <c r="D1745" s="99" t="s">
        <v>106</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ref="D1746:D1763" si="91">IF(AND(B1746&lt;&gt;"",C1746&lt;&gt;""),"N/T","")</f>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101</v>
      </c>
      <c r="B1766" s="23" t="s">
        <v>93</v>
      </c>
      <c r="C1766" s="24" t="s">
        <v>190</v>
      </c>
      <c r="D1766" s="25" t="s">
        <v>103</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https://www.comunidad.madrid/tacp/</v>
      </c>
      <c r="D1767" s="99" t="s">
        <v>94</v>
      </c>
      <c r="E1767" s="79" t="str">
        <f t="shared" ref="E1767:E1801" si="92">IF(D1767&lt;&gt;"",IF(AND(B1767&lt;&gt;"",C1767&lt;&gt;""),"","ERR"),"")</f>
        <v/>
      </c>
      <c r="F1767" s="86" t="s">
        <v>104</v>
      </c>
      <c r="G1767" s="87" t="s">
        <v>105</v>
      </c>
      <c r="H1767" s="88" t="s">
        <v>106</v>
      </c>
      <c r="I1767" s="89" t="s">
        <v>96</v>
      </c>
      <c r="J1767" s="90" t="s">
        <v>94</v>
      </c>
      <c r="K1767" s="179" t="s">
        <v>100</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Carta del presidente</v>
      </c>
      <c r="C1768" s="85" t="str" cm="1">
        <f t="array" ref="C1768">IFERROR(INDEX('03.Muestra'!$F$8:$F$42,SMALL(IF("Página Web"='03.Muestra'!$D$8:$D$42,ROW('03.Muestra'!$F$8:$F$42)-MIN(ROW('03.Muestra'!$D$8:$D$42))+1,""),ROW()-1766)),"")</f>
        <v>https://www.comunidad.madrid/tacp/carta-del-presidente</v>
      </c>
      <c r="D1768" s="99" t="s">
        <v>94</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17</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Organización</v>
      </c>
      <c r="C1769" s="85" t="str" cm="1">
        <f t="array" ref="C1769">IFERROR(INDEX('03.Muestra'!$F$8:$F$42,SMALL(IF("Página Web"='03.Muestra'!$D$8:$D$42,ROW('03.Muestra'!$F$8:$F$42)-MIN(ROW('03.Muestra'!$D$8:$D$42))+1,""),ROW()-1766)),"")</f>
        <v>https://www.comunidad.madrid/tacp/el-tribunal/organización</v>
      </c>
      <c r="D1769" s="99" t="s">
        <v>94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Acuerdos</v>
      </c>
      <c r="C1770" s="85" t="str" cm="1">
        <f t="array" ref="C1770">IFERROR(INDEX('03.Muestra'!$F$8:$F$42,SMALL(IF("Página Web"='03.Muestra'!$D$8:$D$42,ROW('03.Muestra'!$F$8:$F$42)-MIN(ROW('03.Muestra'!$D$8:$D$42))+1,""),ROW()-1766)),"")</f>
        <v>https://www.comunidad.madrid/tacp/el-tribunal/acuerdos-del-tacp</v>
      </c>
      <c r="D1770" s="99" t="s">
        <v>94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Presentacion</v>
      </c>
      <c r="C1771" s="85" t="str" cm="1">
        <f t="array" ref="C1771">IFERROR(INDEX('03.Muestra'!$F$8:$F$42,SMALL(IF("Página Web"='03.Muestra'!$D$8:$D$42,ROW('03.Muestra'!$F$8:$F$42)-MIN(ROW('03.Muestra'!$D$8:$D$42))+1,""),ROW()-1766)),"")</f>
        <v>https://www.comunidad.madrid/tacp/el-tribunal/presentacion-electronica-e-impresos-normalizados</v>
      </c>
      <c r="D1771" s="99" t="s">
        <v>94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Guia</v>
      </c>
      <c r="C1772" s="85" t="str" cm="1">
        <f t="array" ref="C1772">IFERROR(INDEX('03.Muestra'!$F$8:$F$42,SMALL(IF("Página Web"='03.Muestra'!$D$8:$D$42,ROW('03.Muestra'!$F$8:$F$42)-MIN(ROW('03.Muestra'!$D$8:$D$42))+1,""),ROW()-1766)),"")</f>
        <v>https://www.comunidad.madrid/tacp/el-tribunal/guia-informativa-sobre-la-regulacion-del-tribunal-de-contratacion-publica-y-los</v>
      </c>
      <c r="D1772" s="99" t="s">
        <v>94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Preguntas</v>
      </c>
      <c r="C1773" s="85" t="str" cm="1">
        <f t="array" ref="C1773">IFERROR(INDEX('03.Muestra'!$F$8:$F$42,SMALL(IF("Página Web"='03.Muestra'!$D$8:$D$42,ROW('03.Muestra'!$F$8:$F$42)-MIN(ROW('03.Muestra'!$D$8:$D$42))+1,""),ROW()-1766)),"")</f>
        <v>https://www.comunidad.madrid/tacp/faq-page</v>
      </c>
      <c r="D1773" s="99" t="s">
        <v>94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Histórico</v>
      </c>
      <c r="C1774" s="85" t="str" cm="1">
        <f t="array" ref="C1774">IFERROR(INDEX('03.Muestra'!$F$8:$F$42,SMALL(IF("Página Web"='03.Muestra'!$D$8:$D$42,ROW('03.Muestra'!$F$8:$F$42)-MIN(ROW('03.Muestra'!$D$8:$D$42))+1,""),ROW()-1766)),"")</f>
        <v>https://www.comunidad.madrid/tacp/el-tribunal/historico-resoluciones-de-las-reclamaciones-de-acceso-informacion-publica</v>
      </c>
      <c r="D1774" s="99" t="s">
        <v>94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Estudios</v>
      </c>
      <c r="C1775" s="85" t="str" cm="1">
        <f t="array" ref="C1775">IFERROR(INDEX('03.Muestra'!$F$8:$F$42,SMALL(IF("Página Web"='03.Muestra'!$D$8:$D$42,ROW('03.Muestra'!$F$8:$F$42)-MIN(ROW('03.Muestra'!$D$8:$D$42))+1,""),ROW()-1766)),"")</f>
        <v>https://www.comunidad.madrid/tacp/estudios</v>
      </c>
      <c r="D1775" s="99" t="s">
        <v>94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Memorias</v>
      </c>
      <c r="C1776" s="85" t="str" cm="1">
        <f t="array" ref="C1776">IFERROR(INDEX('03.Muestra'!$F$8:$F$42,SMALL(IF("Página Web"='03.Muestra'!$D$8:$D$42,ROW('03.Muestra'!$F$8:$F$42)-MIN(ROW('03.Muestra'!$D$8:$D$42))+1,""),ROW()-1766)),"")</f>
        <v>https://www.comunidad.madrid/tacp/memorias</v>
      </c>
      <c r="D1776" s="99" t="s">
        <v>94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Busqueda Resol</v>
      </c>
      <c r="C1777" s="85" t="str" cm="1">
        <f t="array" ref="C1777">IFERROR(INDEX('03.Muestra'!$F$8:$F$42,SMALL(IF("Página Web"='03.Muestra'!$D$8:$D$42,ROW('03.Muestra'!$F$8:$F$42)-MIN(ROW('03.Muestra'!$D$8:$D$42))+1,""),ROW()-1766)),"")</f>
        <v>https://www.comunidad.madrid/tacp/busquedaresoluciones</v>
      </c>
      <c r="D1777" s="99" t="s">
        <v>94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Novedades</v>
      </c>
      <c r="C1778" s="85" t="str" cm="1">
        <f t="array" ref="C1778">IFERROR(INDEX('03.Muestra'!$F$8:$F$42,SMALL(IF("Página Web"='03.Muestra'!$D$8:$D$42,ROW('03.Muestra'!$F$8:$F$42)-MIN(ROW('03.Muestra'!$D$8:$D$42))+1,""),ROW()-1766)),"")</f>
        <v>https://www.comunidad.madrid/tacp/noticias</v>
      </c>
      <c r="D1778" s="99" t="s">
        <v>94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Recursos especiales</v>
      </c>
      <c r="C1779" s="85" t="str" cm="1">
        <f t="array" ref="C1779">IFERROR(INDEX('03.Muestra'!$F$8:$F$42,SMALL(IF("Página Web"='03.Muestra'!$D$8:$D$42,ROW('03.Muestra'!$F$8:$F$42)-MIN(ROW('03.Muestra'!$D$8:$D$42))+1,""),ROW()-1766)),"")</f>
        <v>https://www.comunidad.madrid/tacp/novedades/publicacion-recursos-especiales-en-perfil-contratante</v>
      </c>
      <c r="D1779" s="99" t="s">
        <v>94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Normativa</v>
      </c>
      <c r="C1780" s="85" t="str" cm="1">
        <f t="array" ref="C1780">IFERROR(INDEX('03.Muestra'!$F$8:$F$42,SMALL(IF("Página Web"='03.Muestra'!$D$8:$D$42,ROW('03.Muestra'!$F$8:$F$42)-MIN(ROW('03.Muestra'!$D$8:$D$42))+1,""),ROW()-1766)),"")</f>
        <v>https://www.comunidad.madrid/es/tacp/normativa</v>
      </c>
      <c r="D1780" s="99" t="s">
        <v>94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Organos Competentes</v>
      </c>
      <c r="C1781" s="85" t="str" cm="1">
        <f t="array" ref="C1781">IFERROR(INDEX('03.Muestra'!$F$8:$F$42,SMALL(IF("Página Web"='03.Muestra'!$D$8:$D$42,ROW('03.Muestra'!$F$8:$F$42)-MIN(ROW('03.Muestra'!$D$8:$D$42))+1,""),ROW()-1766)),"")</f>
        <v>https://www.comunidad.madrid/es/tacp/otros-organos-competentes</v>
      </c>
      <c r="D1781" s="99" t="s">
        <v>94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Contacto</v>
      </c>
      <c r="C1782" s="85" t="str" cm="1">
        <f t="array" ref="C1782">IFERROR(INDEX('03.Muestra'!$F$8:$F$42,SMALL(IF("Página Web"='03.Muestra'!$D$8:$D$42,ROW('03.Muestra'!$F$8:$F$42)-MIN(ROW('03.Muestra'!$D$8:$D$42))+1,""),ROW()-1766)),"")</f>
        <v>https://www.comunidad.madrid/es/tacp/contact</v>
      </c>
      <c r="D1782" s="99" t="s">
        <v>94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Accesibilidad</v>
      </c>
      <c r="C1783" s="85" t="str" cm="1">
        <f t="array" ref="C1783">IFERROR(INDEX('03.Muestra'!$F$8:$F$42,SMALL(IF("Página Web"='03.Muestra'!$D$8:$D$42,ROW('03.Muestra'!$F$8:$F$42)-MIN(ROW('03.Muestra'!$D$8:$D$42))+1,""),ROW()-1766)),"")</f>
        <v>https://www.comunidad.madrid/es/tacp/accesibilidad</v>
      </c>
      <c r="D1783" s="99" t="s">
        <v>94</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ref="D1784:D1801" si="93">IF(AND(B1784&lt;&gt;"",C1784&lt;&gt;""),"N/T","")</f>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101</v>
      </c>
      <c r="B1804" s="23" t="s">
        <v>93</v>
      </c>
      <c r="C1804" s="24" t="s">
        <v>191</v>
      </c>
      <c r="D1804" s="25" t="s">
        <v>103</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https://www.comunidad.madrid/tacp/</v>
      </c>
      <c r="D1805" s="99" t="s">
        <v>94</v>
      </c>
      <c r="E1805" s="79" t="str">
        <f t="shared" ref="E1805:E1839" si="94">IF(D1805&lt;&gt;"",IF(AND(B1805&lt;&gt;"",C1805&lt;&gt;""),"","ERR"),"")</f>
        <v/>
      </c>
      <c r="F1805" s="86" t="s">
        <v>104</v>
      </c>
      <c r="G1805" s="87" t="s">
        <v>105</v>
      </c>
      <c r="H1805" s="88" t="s">
        <v>106</v>
      </c>
      <c r="I1805" s="89" t="s">
        <v>96</v>
      </c>
      <c r="J1805" s="90" t="s">
        <v>94</v>
      </c>
      <c r="K1805" s="179" t="s">
        <v>100</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Carta del presidente</v>
      </c>
      <c r="C1806" s="85" t="str" cm="1">
        <f t="array" ref="C1806">IFERROR(INDEX('03.Muestra'!$F$8:$F$42,SMALL(IF("Página Web"='03.Muestra'!$D$8:$D$42,ROW('03.Muestra'!$F$8:$F$42)-MIN(ROW('03.Muestra'!$D$8:$D$42))+1,""),ROW()-1804)),"")</f>
        <v>https://www.comunidad.madrid/tacp/carta-del-presidente</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17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Organización</v>
      </c>
      <c r="C1807" s="85" t="str" cm="1">
        <f t="array" ref="C1807">IFERROR(INDEX('03.Muestra'!$F$8:$F$42,SMALL(IF("Página Web"='03.Muestra'!$D$8:$D$42,ROW('03.Muestra'!$F$8:$F$42)-MIN(ROW('03.Muestra'!$D$8:$D$42))+1,""),ROW()-1804)),"")</f>
        <v>https://www.comunidad.madrid/tacp/el-tribunal/organización</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Acuerdos</v>
      </c>
      <c r="C1808" s="85" t="str" cm="1">
        <f t="array" ref="C1808">IFERROR(INDEX('03.Muestra'!$F$8:$F$42,SMALL(IF("Página Web"='03.Muestra'!$D$8:$D$42,ROW('03.Muestra'!$F$8:$F$42)-MIN(ROW('03.Muestra'!$D$8:$D$42))+1,""),ROW()-1804)),"")</f>
        <v>https://www.comunidad.madrid/tacp/el-tribunal/acuerdos-del-tacp</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Presentacion</v>
      </c>
      <c r="C1809" s="85" t="str" cm="1">
        <f t="array" ref="C1809">IFERROR(INDEX('03.Muestra'!$F$8:$F$42,SMALL(IF("Página Web"='03.Muestra'!$D$8:$D$42,ROW('03.Muestra'!$F$8:$F$42)-MIN(ROW('03.Muestra'!$D$8:$D$42))+1,""),ROW()-1804)),"")</f>
        <v>https://www.comunidad.madrid/tacp/el-tribunal/presentacion-electronica-e-impresos-normalizados</v>
      </c>
      <c r="D1809" s="99" t="s">
        <v>94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Guia</v>
      </c>
      <c r="C1810" s="85" t="str" cm="1">
        <f t="array" ref="C1810">IFERROR(INDEX('03.Muestra'!$F$8:$F$42,SMALL(IF("Página Web"='03.Muestra'!$D$8:$D$42,ROW('03.Muestra'!$F$8:$F$42)-MIN(ROW('03.Muestra'!$D$8:$D$42))+1,""),ROW()-1804)),"")</f>
        <v>https://www.comunidad.madrid/tacp/el-tribunal/guia-informativa-sobre-la-regulacion-del-tribunal-de-contratacion-publica-y-los</v>
      </c>
      <c r="D1810" s="99" t="s">
        <v>94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Preguntas</v>
      </c>
      <c r="C1811" s="85" t="str" cm="1">
        <f t="array" ref="C1811">IFERROR(INDEX('03.Muestra'!$F$8:$F$42,SMALL(IF("Página Web"='03.Muestra'!$D$8:$D$42,ROW('03.Muestra'!$F$8:$F$42)-MIN(ROW('03.Muestra'!$D$8:$D$42))+1,""),ROW()-1804)),"")</f>
        <v>https://www.comunidad.madrid/tacp/faq-page</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Histórico</v>
      </c>
      <c r="C1812" s="85" t="str" cm="1">
        <f t="array" ref="C1812">IFERROR(INDEX('03.Muestra'!$F$8:$F$42,SMALL(IF("Página Web"='03.Muestra'!$D$8:$D$42,ROW('03.Muestra'!$F$8:$F$42)-MIN(ROW('03.Muestra'!$D$8:$D$42))+1,""),ROW()-1804)),"")</f>
        <v>https://www.comunidad.madrid/tacp/el-tribunal/historico-resoluciones-de-las-reclamaciones-de-acceso-informacion-publica</v>
      </c>
      <c r="D1812" s="99" t="s">
        <v>94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Estudios</v>
      </c>
      <c r="C1813" s="85" t="str" cm="1">
        <f t="array" ref="C1813">IFERROR(INDEX('03.Muestra'!$F$8:$F$42,SMALL(IF("Página Web"='03.Muestra'!$D$8:$D$42,ROW('03.Muestra'!$F$8:$F$42)-MIN(ROW('03.Muestra'!$D$8:$D$42))+1,""),ROW()-1804)),"")</f>
        <v>https://www.comunidad.madrid/tacp/estudios</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Memorias</v>
      </c>
      <c r="C1814" s="85" t="str" cm="1">
        <f t="array" ref="C1814">IFERROR(INDEX('03.Muestra'!$F$8:$F$42,SMALL(IF("Página Web"='03.Muestra'!$D$8:$D$42,ROW('03.Muestra'!$F$8:$F$42)-MIN(ROW('03.Muestra'!$D$8:$D$42))+1,""),ROW()-1804)),"")</f>
        <v>https://www.comunidad.madrid/tacp/memorias</v>
      </c>
      <c r="D1814" s="99" t="s">
        <v>94</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Busqueda Resol</v>
      </c>
      <c r="C1815" s="85" t="str" cm="1">
        <f t="array" ref="C1815">IFERROR(INDEX('03.Muestra'!$F$8:$F$42,SMALL(IF("Página Web"='03.Muestra'!$D$8:$D$42,ROW('03.Muestra'!$F$8:$F$42)-MIN(ROW('03.Muestra'!$D$8:$D$42))+1,""),ROW()-1804)),"")</f>
        <v>https://www.comunidad.madrid/tacp/busquedaresoluciones</v>
      </c>
      <c r="D1815" s="99" t="s">
        <v>94</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Novedades</v>
      </c>
      <c r="C1816" s="85" t="str" cm="1">
        <f t="array" ref="C1816">IFERROR(INDEX('03.Muestra'!$F$8:$F$42,SMALL(IF("Página Web"='03.Muestra'!$D$8:$D$42,ROW('03.Muestra'!$F$8:$F$42)-MIN(ROW('03.Muestra'!$D$8:$D$42))+1,""),ROW()-1804)),"")</f>
        <v>https://www.comunidad.madrid/tacp/noticias</v>
      </c>
      <c r="D1816" s="99" t="s">
        <v>94</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Recursos especiales</v>
      </c>
      <c r="C1817" s="85" t="str" cm="1">
        <f t="array" ref="C1817">IFERROR(INDEX('03.Muestra'!$F$8:$F$42,SMALL(IF("Página Web"='03.Muestra'!$D$8:$D$42,ROW('03.Muestra'!$F$8:$F$42)-MIN(ROW('03.Muestra'!$D$8:$D$42))+1,""),ROW()-1804)),"")</f>
        <v>https://www.comunidad.madrid/tacp/novedades/publicacion-recursos-especiales-en-perfil-contratante</v>
      </c>
      <c r="D1817" s="99" t="s">
        <v>94</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Normativa</v>
      </c>
      <c r="C1818" s="85" t="str" cm="1">
        <f t="array" ref="C1818">IFERROR(INDEX('03.Muestra'!$F$8:$F$42,SMALL(IF("Página Web"='03.Muestra'!$D$8:$D$42,ROW('03.Muestra'!$F$8:$F$42)-MIN(ROW('03.Muestra'!$D$8:$D$42))+1,""),ROW()-1804)),"")</f>
        <v>https://www.comunidad.madrid/es/tacp/normativa</v>
      </c>
      <c r="D1818" s="99" t="s">
        <v>94</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Organos Competentes</v>
      </c>
      <c r="C1819" s="85" t="str" cm="1">
        <f t="array" ref="C1819">IFERROR(INDEX('03.Muestra'!$F$8:$F$42,SMALL(IF("Página Web"='03.Muestra'!$D$8:$D$42,ROW('03.Muestra'!$F$8:$F$42)-MIN(ROW('03.Muestra'!$D$8:$D$42))+1,""),ROW()-1804)),"")</f>
        <v>https://www.comunidad.madrid/es/tacp/otros-organos-competentes</v>
      </c>
      <c r="D1819" s="99" t="s">
        <v>94</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Contacto</v>
      </c>
      <c r="C1820" s="85" t="str" cm="1">
        <f t="array" ref="C1820">IFERROR(INDEX('03.Muestra'!$F$8:$F$42,SMALL(IF("Página Web"='03.Muestra'!$D$8:$D$42,ROW('03.Muestra'!$F$8:$F$42)-MIN(ROW('03.Muestra'!$D$8:$D$42))+1,""),ROW()-1804)),"")</f>
        <v>https://www.comunidad.madrid/es/tacp/contact</v>
      </c>
      <c r="D1820" s="99" t="s">
        <v>94</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Accesibilidad</v>
      </c>
      <c r="C1821" s="85" t="str" cm="1">
        <f t="array" ref="C1821">IFERROR(INDEX('03.Muestra'!$F$8:$F$42,SMALL(IF("Página Web"='03.Muestra'!$D$8:$D$42,ROW('03.Muestra'!$F$8:$F$42)-MIN(ROW('03.Muestra'!$D$8:$D$42))+1,""),ROW()-1804)),"")</f>
        <v>https://www.comunidad.madrid/es/tacp/accesibilidad</v>
      </c>
      <c r="D1821" s="99" t="s">
        <v>94</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ref="D1822:D1839" si="95">IF(AND(B1822&lt;&gt;"",C1822&lt;&gt;""),"N/T","")</f>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101</v>
      </c>
      <c r="B1842" s="23" t="s">
        <v>93</v>
      </c>
      <c r="C1842" s="24" t="s">
        <v>192</v>
      </c>
      <c r="D1842" s="25" t="s">
        <v>103</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https://www.comunidad.madrid/tacp/</v>
      </c>
      <c r="D1843" s="99" t="s">
        <v>106</v>
      </c>
      <c r="E1843" s="79" t="str">
        <f t="shared" ref="E1843:E1877" si="96">IF(D1843&lt;&gt;"",IF(AND(B1843&lt;&gt;"",C1843&lt;&gt;""),"","ERR"),"")</f>
        <v/>
      </c>
      <c r="F1843" s="86" t="s">
        <v>104</v>
      </c>
      <c r="G1843" s="87" t="s">
        <v>105</v>
      </c>
      <c r="H1843" s="88" t="s">
        <v>106</v>
      </c>
      <c r="I1843" s="89" t="s">
        <v>96</v>
      </c>
      <c r="J1843" s="90" t="s">
        <v>94</v>
      </c>
      <c r="K1843" s="179" t="s">
        <v>100</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Carta del presidente</v>
      </c>
      <c r="C1844" s="85" t="str" cm="1">
        <f t="array" ref="C1844">IFERROR(INDEX('03.Muestra'!$F$8:$F$42,SMALL(IF("Página Web"='03.Muestra'!$D$8:$D$42,ROW('03.Muestra'!$F$8:$F$42)-MIN(ROW('03.Muestra'!$D$8:$D$42))+1,""),ROW()-1842)),"")</f>
        <v>https://www.comunidad.madrid/tacp/carta-del-presidente</v>
      </c>
      <c r="D1844" s="99" t="s">
        <v>106</v>
      </c>
      <c r="E1844" s="79" t="str">
        <f t="shared" si="96"/>
        <v/>
      </c>
      <c r="F1844" s="91">
        <f ca="1">COUNTIF($D1843:INDIRECT("$D" &amp;  SUM(ROW()-1,'03.Muestra'!$D$45)-1),F1843)</f>
        <v>0</v>
      </c>
      <c r="G1844" s="91">
        <f ca="1">COUNTIF($D1843:INDIRECT("$D" &amp;  SUM(ROW()-1,'03.Muestra'!$D$45)-1),G1843)</f>
        <v>0</v>
      </c>
      <c r="H1844" s="91">
        <f ca="1">COUNTIF($D1843:INDIRECT("$D" &amp;  SUM(ROW()-1,'03.Muestra'!$D$45)-1),H1843)</f>
        <v>17</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Organización</v>
      </c>
      <c r="C1845" s="85" t="str" cm="1">
        <f t="array" ref="C1845">IFERROR(INDEX('03.Muestra'!$F$8:$F$42,SMALL(IF("Página Web"='03.Muestra'!$D$8:$D$42,ROW('03.Muestra'!$F$8:$F$42)-MIN(ROW('03.Muestra'!$D$8:$D$42))+1,""),ROW()-1842)),"")</f>
        <v>https://www.comunidad.madrid/tacp/el-tribunal/organización</v>
      </c>
      <c r="D1845" s="99" t="s">
        <v>106</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Acuerdos</v>
      </c>
      <c r="C1846" s="85" t="str" cm="1">
        <f t="array" ref="C1846">IFERROR(INDEX('03.Muestra'!$F$8:$F$42,SMALL(IF("Página Web"='03.Muestra'!$D$8:$D$42,ROW('03.Muestra'!$F$8:$F$42)-MIN(ROW('03.Muestra'!$D$8:$D$42))+1,""),ROW()-1842)),"")</f>
        <v>https://www.comunidad.madrid/tacp/el-tribunal/acuerdos-del-tacp</v>
      </c>
      <c r="D1846" s="99" t="s">
        <v>106</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Presentacion</v>
      </c>
      <c r="C1847" s="85" t="str" cm="1">
        <f t="array" ref="C1847">IFERROR(INDEX('03.Muestra'!$F$8:$F$42,SMALL(IF("Página Web"='03.Muestra'!$D$8:$D$42,ROW('03.Muestra'!$F$8:$F$42)-MIN(ROW('03.Muestra'!$D$8:$D$42))+1,""),ROW()-1842)),"")</f>
        <v>https://www.comunidad.madrid/tacp/el-tribunal/presentacion-electronica-e-impresos-normalizados</v>
      </c>
      <c r="D1847" s="99" t="s">
        <v>106</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Guia</v>
      </c>
      <c r="C1848" s="85" t="str" cm="1">
        <f t="array" ref="C1848">IFERROR(INDEX('03.Muestra'!$F$8:$F$42,SMALL(IF("Página Web"='03.Muestra'!$D$8:$D$42,ROW('03.Muestra'!$F$8:$F$42)-MIN(ROW('03.Muestra'!$D$8:$D$42))+1,""),ROW()-1842)),"")</f>
        <v>https://www.comunidad.madrid/tacp/el-tribunal/guia-informativa-sobre-la-regulacion-del-tribunal-de-contratacion-publica-y-los</v>
      </c>
      <c r="D1848" s="99" t="s">
        <v>106</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Preguntas</v>
      </c>
      <c r="C1849" s="85" t="str" cm="1">
        <f t="array" ref="C1849">IFERROR(INDEX('03.Muestra'!$F$8:$F$42,SMALL(IF("Página Web"='03.Muestra'!$D$8:$D$42,ROW('03.Muestra'!$F$8:$F$42)-MIN(ROW('03.Muestra'!$D$8:$D$42))+1,""),ROW()-1842)),"")</f>
        <v>https://www.comunidad.madrid/tacp/faq-page</v>
      </c>
      <c r="D1849" s="99" t="s">
        <v>106</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Histórico</v>
      </c>
      <c r="C1850" s="85" t="str" cm="1">
        <f t="array" ref="C1850">IFERROR(INDEX('03.Muestra'!$F$8:$F$42,SMALL(IF("Página Web"='03.Muestra'!$D$8:$D$42,ROW('03.Muestra'!$F$8:$F$42)-MIN(ROW('03.Muestra'!$D$8:$D$42))+1,""),ROW()-1842)),"")</f>
        <v>https://www.comunidad.madrid/tacp/el-tribunal/historico-resoluciones-de-las-reclamaciones-de-acceso-informacion-publica</v>
      </c>
      <c r="D1850" s="99" t="s">
        <v>106</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Estudios</v>
      </c>
      <c r="C1851" s="85" t="str" cm="1">
        <f t="array" ref="C1851">IFERROR(INDEX('03.Muestra'!$F$8:$F$42,SMALL(IF("Página Web"='03.Muestra'!$D$8:$D$42,ROW('03.Muestra'!$F$8:$F$42)-MIN(ROW('03.Muestra'!$D$8:$D$42))+1,""),ROW()-1842)),"")</f>
        <v>https://www.comunidad.madrid/tacp/estudios</v>
      </c>
      <c r="D1851" s="99" t="s">
        <v>106</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Memorias</v>
      </c>
      <c r="C1852" s="85" t="str" cm="1">
        <f t="array" ref="C1852">IFERROR(INDEX('03.Muestra'!$F$8:$F$42,SMALL(IF("Página Web"='03.Muestra'!$D$8:$D$42,ROW('03.Muestra'!$F$8:$F$42)-MIN(ROW('03.Muestra'!$D$8:$D$42))+1,""),ROW()-1842)),"")</f>
        <v>https://www.comunidad.madrid/tacp/memorias</v>
      </c>
      <c r="D1852" s="99" t="s">
        <v>106</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Busqueda Resol</v>
      </c>
      <c r="C1853" s="85" t="str" cm="1">
        <f t="array" ref="C1853">IFERROR(INDEX('03.Muestra'!$F$8:$F$42,SMALL(IF("Página Web"='03.Muestra'!$D$8:$D$42,ROW('03.Muestra'!$F$8:$F$42)-MIN(ROW('03.Muestra'!$D$8:$D$42))+1,""),ROW()-1842)),"")</f>
        <v>https://www.comunidad.madrid/tacp/busquedaresoluciones</v>
      </c>
      <c r="D1853" s="99" t="s">
        <v>106</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Novedades</v>
      </c>
      <c r="C1854" s="85" t="str" cm="1">
        <f t="array" ref="C1854">IFERROR(INDEX('03.Muestra'!$F$8:$F$42,SMALL(IF("Página Web"='03.Muestra'!$D$8:$D$42,ROW('03.Muestra'!$F$8:$F$42)-MIN(ROW('03.Muestra'!$D$8:$D$42))+1,""),ROW()-1842)),"")</f>
        <v>https://www.comunidad.madrid/tacp/noticias</v>
      </c>
      <c r="D1854" s="99" t="s">
        <v>106</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Recursos especiales</v>
      </c>
      <c r="C1855" s="85" t="str" cm="1">
        <f t="array" ref="C1855">IFERROR(INDEX('03.Muestra'!$F$8:$F$42,SMALL(IF("Página Web"='03.Muestra'!$D$8:$D$42,ROW('03.Muestra'!$F$8:$F$42)-MIN(ROW('03.Muestra'!$D$8:$D$42))+1,""),ROW()-1842)),"")</f>
        <v>https://www.comunidad.madrid/tacp/novedades/publicacion-recursos-especiales-en-perfil-contratante</v>
      </c>
      <c r="D1855" s="99" t="s">
        <v>106</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Normativa</v>
      </c>
      <c r="C1856" s="85" t="str" cm="1">
        <f t="array" ref="C1856">IFERROR(INDEX('03.Muestra'!$F$8:$F$42,SMALL(IF("Página Web"='03.Muestra'!$D$8:$D$42,ROW('03.Muestra'!$F$8:$F$42)-MIN(ROW('03.Muestra'!$D$8:$D$42))+1,""),ROW()-1842)),"")</f>
        <v>https://www.comunidad.madrid/es/tacp/normativa</v>
      </c>
      <c r="D1856" s="99" t="s">
        <v>106</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Organos Competentes</v>
      </c>
      <c r="C1857" s="85" t="str" cm="1">
        <f t="array" ref="C1857">IFERROR(INDEX('03.Muestra'!$F$8:$F$42,SMALL(IF("Página Web"='03.Muestra'!$D$8:$D$42,ROW('03.Muestra'!$F$8:$F$42)-MIN(ROW('03.Muestra'!$D$8:$D$42))+1,""),ROW()-1842)),"")</f>
        <v>https://www.comunidad.madrid/es/tacp/otros-organos-competentes</v>
      </c>
      <c r="D1857" s="99" t="s">
        <v>106</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Contacto</v>
      </c>
      <c r="C1858" s="85" t="str" cm="1">
        <f t="array" ref="C1858">IFERROR(INDEX('03.Muestra'!$F$8:$F$42,SMALL(IF("Página Web"='03.Muestra'!$D$8:$D$42,ROW('03.Muestra'!$F$8:$F$42)-MIN(ROW('03.Muestra'!$D$8:$D$42))+1,""),ROW()-1842)),"")</f>
        <v>https://www.comunidad.madrid/es/tacp/contact</v>
      </c>
      <c r="D1858" s="99" t="s">
        <v>106</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Accesibilidad</v>
      </c>
      <c r="C1859" s="85" t="str" cm="1">
        <f t="array" ref="C1859">IFERROR(INDEX('03.Muestra'!$F$8:$F$42,SMALL(IF("Página Web"='03.Muestra'!$D$8:$D$42,ROW('03.Muestra'!$F$8:$F$42)-MIN(ROW('03.Muestra'!$D$8:$D$42))+1,""),ROW()-1842)),"")</f>
        <v>https://www.comunidad.madrid/es/tacp/accesibilidad</v>
      </c>
      <c r="D1859" s="99" t="s">
        <v>106</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ref="D1860:D1877" si="97">IF(AND(B1860&lt;&gt;"",C1860&lt;&gt;""),"N/T","")</f>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101</v>
      </c>
      <c r="B1880" s="23" t="s">
        <v>93</v>
      </c>
      <c r="C1880" s="24" t="s">
        <v>193</v>
      </c>
      <c r="D1880" s="25" t="s">
        <v>103</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https://www.comunidad.madrid/tacp/</v>
      </c>
      <c r="D1881" s="99" t="s">
        <v>94</v>
      </c>
      <c r="E1881" s="79" t="str">
        <f t="shared" ref="E1881:E1915" si="98">IF(D1881&lt;&gt;"",IF(AND(B1881&lt;&gt;"",C1881&lt;&gt;""),"","ERR"),"")</f>
        <v/>
      </c>
      <c r="F1881" s="86" t="s">
        <v>104</v>
      </c>
      <c r="G1881" s="87" t="s">
        <v>105</v>
      </c>
      <c r="H1881" s="88" t="s">
        <v>106</v>
      </c>
      <c r="I1881" s="89" t="s">
        <v>96</v>
      </c>
      <c r="J1881" s="90" t="s">
        <v>94</v>
      </c>
      <c r="K1881" s="179" t="s">
        <v>100</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Carta del presidente</v>
      </c>
      <c r="C1882" s="85" t="str" cm="1">
        <f t="array" ref="C1882">IFERROR(INDEX('03.Muestra'!$F$8:$F$42,SMALL(IF("Página Web"='03.Muestra'!$D$8:$D$42,ROW('03.Muestra'!$F$8:$F$42)-MIN(ROW('03.Muestra'!$D$8:$D$42))+1,""),ROW()-1880)),"")</f>
        <v>https://www.comunidad.madrid/tacp/carta-del-presidente</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0</v>
      </c>
      <c r="J1882" s="91">
        <f ca="1">COUNTIF($D1881:INDIRECT("$D" &amp;  SUM(ROW()-1,'03.Muestra'!$D$45)-1),J1881)</f>
        <v>17</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Organización</v>
      </c>
      <c r="C1883" s="85" t="str" cm="1">
        <f t="array" ref="C1883">IFERROR(INDEX('03.Muestra'!$F$8:$F$42,SMALL(IF("Página Web"='03.Muestra'!$D$8:$D$42,ROW('03.Muestra'!$F$8:$F$42)-MIN(ROW('03.Muestra'!$D$8:$D$42))+1,""),ROW()-1880)),"")</f>
        <v>https://www.comunidad.madrid/tacp/el-tribunal/organización</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Acuerdos</v>
      </c>
      <c r="C1884" s="85" t="str" cm="1">
        <f t="array" ref="C1884">IFERROR(INDEX('03.Muestra'!$F$8:$F$42,SMALL(IF("Página Web"='03.Muestra'!$D$8:$D$42,ROW('03.Muestra'!$F$8:$F$42)-MIN(ROW('03.Muestra'!$D$8:$D$42))+1,""),ROW()-1880)),"")</f>
        <v>https://www.comunidad.madrid/tacp/el-tribunal/acuerdos-del-tacp</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Presentacion</v>
      </c>
      <c r="C1885" s="85" t="str" cm="1">
        <f t="array" ref="C1885">IFERROR(INDEX('03.Muestra'!$F$8:$F$42,SMALL(IF("Página Web"='03.Muestra'!$D$8:$D$42,ROW('03.Muestra'!$F$8:$F$42)-MIN(ROW('03.Muestra'!$D$8:$D$42))+1,""),ROW()-1880)),"")</f>
        <v>https://www.comunidad.madrid/tacp/el-tribunal/presentacion-electronica-e-impresos-normalizados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Guia</v>
      </c>
      <c r="C1886" s="85" t="str" cm="1">
        <f t="array" ref="C1886">IFERROR(INDEX('03.Muestra'!$F$8:$F$42,SMALL(IF("Página Web"='03.Muestra'!$D$8:$D$42,ROW('03.Muestra'!$F$8:$F$42)-MIN(ROW('03.Muestra'!$D$8:$D$42))+1,""),ROW()-1880)),"")</f>
        <v>https://www.comunidad.madrid/tacp/el-tribunal/guia-informativa-sobre-la-regulacion-del-tribunal-de-contratacion-publica-y-los</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Preguntas</v>
      </c>
      <c r="C1887" s="85" t="str" cm="1">
        <f t="array" ref="C1887">IFERROR(INDEX('03.Muestra'!$F$8:$F$42,SMALL(IF("Página Web"='03.Muestra'!$D$8:$D$42,ROW('03.Muestra'!$F$8:$F$42)-MIN(ROW('03.Muestra'!$D$8:$D$42))+1,""),ROW()-1880)),"")</f>
        <v>https://www.comunidad.madrid/tacp/faq-page</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Histórico</v>
      </c>
      <c r="C1888" s="85" t="str" cm="1">
        <f t="array" ref="C1888">IFERROR(INDEX('03.Muestra'!$F$8:$F$42,SMALL(IF("Página Web"='03.Muestra'!$D$8:$D$42,ROW('03.Muestra'!$F$8:$F$42)-MIN(ROW('03.Muestra'!$D$8:$D$42))+1,""),ROW()-1880)),"")</f>
        <v>https://www.comunidad.madrid/tacp/el-tribunal/historico-resoluciones-de-las-reclamaciones-de-acceso-informacion-publica</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Estudios</v>
      </c>
      <c r="C1889" s="85" t="str" cm="1">
        <f t="array" ref="C1889">IFERROR(INDEX('03.Muestra'!$F$8:$F$42,SMALL(IF("Página Web"='03.Muestra'!$D$8:$D$42,ROW('03.Muestra'!$F$8:$F$42)-MIN(ROW('03.Muestra'!$D$8:$D$42))+1,""),ROW()-1880)),"")</f>
        <v>https://www.comunidad.madrid/tacp/estudios</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Memorias</v>
      </c>
      <c r="C1890" s="85" t="str" cm="1">
        <f t="array" ref="C1890">IFERROR(INDEX('03.Muestra'!$F$8:$F$42,SMALL(IF("Página Web"='03.Muestra'!$D$8:$D$42,ROW('03.Muestra'!$F$8:$F$42)-MIN(ROW('03.Muestra'!$D$8:$D$42))+1,""),ROW()-1880)),"")</f>
        <v>https://www.comunidad.madrid/tacp/memorias</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Busqueda Resol</v>
      </c>
      <c r="C1891" s="85" t="str" cm="1">
        <f t="array" ref="C1891">IFERROR(INDEX('03.Muestra'!$F$8:$F$42,SMALL(IF("Página Web"='03.Muestra'!$D$8:$D$42,ROW('03.Muestra'!$F$8:$F$42)-MIN(ROW('03.Muestra'!$D$8:$D$42))+1,""),ROW()-1880)),"")</f>
        <v>https://www.comunidad.madrid/tacp/busquedaresoluciones</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Novedades</v>
      </c>
      <c r="C1892" s="85" t="str" cm="1">
        <f t="array" ref="C1892">IFERROR(INDEX('03.Muestra'!$F$8:$F$42,SMALL(IF("Página Web"='03.Muestra'!$D$8:$D$42,ROW('03.Muestra'!$F$8:$F$42)-MIN(ROW('03.Muestra'!$D$8:$D$42))+1,""),ROW()-1880)),"")</f>
        <v>https://www.comunidad.madrid/tacp/noticias</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Recursos especiales</v>
      </c>
      <c r="C1893" s="85" t="str" cm="1">
        <f t="array" ref="C1893">IFERROR(INDEX('03.Muestra'!$F$8:$F$42,SMALL(IF("Página Web"='03.Muestra'!$D$8:$D$42,ROW('03.Muestra'!$F$8:$F$42)-MIN(ROW('03.Muestra'!$D$8:$D$42))+1,""),ROW()-1880)),"")</f>
        <v>https://www.comunidad.madrid/tacp/novedades/publicacion-recursos-especiales-en-perfil-contratante</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Normativa</v>
      </c>
      <c r="C1894" s="85" t="str" cm="1">
        <f t="array" ref="C1894">IFERROR(INDEX('03.Muestra'!$F$8:$F$42,SMALL(IF("Página Web"='03.Muestra'!$D$8:$D$42,ROW('03.Muestra'!$F$8:$F$42)-MIN(ROW('03.Muestra'!$D$8:$D$42))+1,""),ROW()-1880)),"")</f>
        <v>https://www.comunidad.madrid/es/tacp/normativa</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Organos Competentes</v>
      </c>
      <c r="C1895" s="85" t="str" cm="1">
        <f t="array" ref="C1895">IFERROR(INDEX('03.Muestra'!$F$8:$F$42,SMALL(IF("Página Web"='03.Muestra'!$D$8:$D$42,ROW('03.Muestra'!$F$8:$F$42)-MIN(ROW('03.Muestra'!$D$8:$D$42))+1,""),ROW()-1880)),"")</f>
        <v>https://www.comunidad.madrid/es/tacp/otros-organos-competentes</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Contacto</v>
      </c>
      <c r="C1896" s="85" t="str" cm="1">
        <f t="array" ref="C1896">IFERROR(INDEX('03.Muestra'!$F$8:$F$42,SMALL(IF("Página Web"='03.Muestra'!$D$8:$D$42,ROW('03.Muestra'!$F$8:$F$42)-MIN(ROW('03.Muestra'!$D$8:$D$42))+1,""),ROW()-1880)),"")</f>
        <v>https://www.comunidad.madrid/es/tacp/contact</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Accesibilidad</v>
      </c>
      <c r="C1897" s="85" t="str" cm="1">
        <f t="array" ref="C1897">IFERROR(INDEX('03.Muestra'!$F$8:$F$42,SMALL(IF("Página Web"='03.Muestra'!$D$8:$D$42,ROW('03.Muestra'!$F$8:$F$42)-MIN(ROW('03.Muestra'!$D$8:$D$42))+1,""),ROW()-1880)),"")</f>
        <v>https://www.comunidad.madrid/es/tacp/accesibilidad</v>
      </c>
      <c r="D1897" s="99" t="s">
        <v>94</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ref="D1898:D1915" si="99">IF(AND(B1898&lt;&gt;"",C1898&lt;&gt;""),"N/T","")</f>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636" zoomScale="90" zoomScaleNormal="90" workbookViewId="0">
      <selection activeCell="D1691" sqref="D1691"/>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1" t="s">
        <v>194</v>
      </c>
      <c r="C8" s="231"/>
      <c r="D8" s="231"/>
      <c r="E8" s="231"/>
      <c r="F8" s="231"/>
      <c r="G8" s="231"/>
      <c r="H8" s="231"/>
      <c r="I8" s="231"/>
      <c r="J8" s="231"/>
      <c r="K8" s="231"/>
      <c r="L8" s="231"/>
      <c r="M8" s="231"/>
      <c r="N8" s="18"/>
      <c r="O8" s="18"/>
    </row>
    <row r="9" spans="1:64" ht="24" customHeight="1">
      <c r="B9" s="230" t="s">
        <v>195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88</v>
      </c>
      <c r="C11" s="229"/>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COUNTIF($B$18:$B$3922,B12)</f>
        <v>45</v>
      </c>
      <c r="D12" s="26"/>
      <c r="E12" s="14"/>
      <c r="F12" s="199" t="s">
        <v>94</v>
      </c>
      <c r="G12" s="72">
        <f ca="1">J20+J58+J96+J134+J172+J210+J248+J286+J324+J362+J400+J438+J476+J514+J552+J590+J628+J666+J704+J742+J780+J818+J856+J894+J932+J970+J1008+J1046+J1084+J1122+J1160+J1198+J1236+J1274+J1312+J1350+J1388+J1426+J1464+J1502+J1540+J1578+J1616+J1654+J1692</f>
        <v>6</v>
      </c>
      <c r="H12" s="42">
        <f ca="1">IF(($G$15+$K$15)=0,0,G12/($G$15+$K$15))</f>
        <v>0.13333333333333333</v>
      </c>
      <c r="I12" s="26"/>
      <c r="J12" s="183" t="s">
        <v>95</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f>
        <v>1</v>
      </c>
      <c r="H13" s="42">
        <f ca="1">IF(($G$15+$K$15)=0,0,G13/($G$15+$K$15))</f>
        <v>2.2222222222222223E-2</v>
      </c>
      <c r="I13" s="26"/>
      <c r="J13" s="183" t="s">
        <v>97</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98</v>
      </c>
      <c r="C14" s="201">
        <f>C12+C13</f>
        <v>45</v>
      </c>
      <c r="D14" s="26"/>
      <c r="E14" s="14"/>
      <c r="F14" s="199" t="s">
        <v>99</v>
      </c>
      <c r="G14" s="72">
        <f ca="1">H20+H58+H96+H134+H172+H210+H248+H286+H324+H362+H400+H438+H476+H514+H552+H590+H628+H666+H704+H742+H780+H818+H856+H894+H932+H970+H1008+H1046+H1084+H1122+H1160+H1198+H1236+H1274+H1312+H1350+H1388+H1426+H1464+H1502+H1540+H1578+H1616+H1654+H1692</f>
        <v>38</v>
      </c>
      <c r="H14" s="42">
        <f ca="1">IF(($G$15+$K$15)=0,0,G14/($G$15+$K$15))</f>
        <v>0.84444444444444444</v>
      </c>
      <c r="I14" s="26"/>
      <c r="J14" s="183" t="s">
        <v>100</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45</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196</v>
      </c>
      <c r="D18" s="25" t="s">
        <v>103</v>
      </c>
      <c r="K18" s="18"/>
      <c r="L18" s="18"/>
    </row>
    <row r="19" spans="1:30" ht="12" customHeight="1">
      <c r="A19" s="39" cm="1">
        <f t="array" ref="A19">IFERROR(INDEX('03.Muestra'!$B$8:$B$42,SMALL(IF("Documento no web"='03.Muestra'!$D$8:$D$42,ROW('03.Muestra'!$B$8:$B$42)-MIN(ROW('03.Muestra'!$D$8:$D$42))+1,""),ROW()-18)),"")</f>
        <v>18</v>
      </c>
      <c r="B19" s="85" t="str" cm="1">
        <f t="array" ref="B19">IFERROR(INDEX('03.Muestra'!$C$8:$C$42,SMALL(IF("Documento no web"='03.Muestra'!$D$8:$D$42,ROW('03.Muestra'!$C$8:$C$42)-MIN(ROW('03.Muestra'!$D$8:$D$42))+1,""),ROW()-18)),"")</f>
        <v>Resolucion</v>
      </c>
      <c r="C19" s="85" t="str" cm="1">
        <f t="array" ref="C19">IFERROR(INDEX('03.Muestra'!$F$8:$F$42,SMALL(IF("Documento no web"='03.Muestra'!$D$8:$D$42,ROW('03.Muestra'!$F$8:$F$42)-MIN(ROW('03.Muestra'!$D$8:$D$42))+1,""),ROW()-18)),"")</f>
        <v>https://www.comunidad.madrid/tacp/busquedaresoluciones</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104</v>
      </c>
      <c r="L22" s="92" t="s">
        <v>107</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106</v>
      </c>
      <c r="L23" s="92" t="s">
        <v>108</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105</v>
      </c>
      <c r="L24" s="92" t="s">
        <v>109</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197</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IFERROR(INDEX('03.Muestra'!$B$8:$B$42,SMALL(IF("Documento no web"='03.Muestra'!$D$8:$D$42,ROW('03.Muestra'!$B$8:$B$42)-MIN(ROW('03.Muestra'!$D$8:$D$42))+1,""),ROW()-56)),"")</f>
        <v>18</v>
      </c>
      <c r="B57" s="85" t="str" cm="1">
        <f t="array" ref="B57">IFERROR(INDEX('03.Muestra'!$C$8:$C$42,SMALL(IF("Documento no web"='03.Muestra'!$D$8:$D$42,ROW('03.Muestra'!$C$8:$C$42)-MIN(ROW('03.Muestra'!$D$8:$D$42))+1,""),ROW()-56)),"")</f>
        <v>Resolucion</v>
      </c>
      <c r="C57" s="85" t="str" cm="1">
        <f t="array" ref="C57">IFERROR(INDEX('03.Muestra'!$F$8:$F$42,SMALL(IF("Documento no web"='03.Muestra'!$D$8:$D$42,ROW('03.Muestra'!$F$8:$F$42)-MIN(ROW('03.Muestra'!$D$8:$D$42))+1,""),ROW()-56)),"")</f>
        <v>https://www.comunidad.madrid/tacp/busquedaresoluciones</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1</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198</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IFERROR(INDEX('03.Muestra'!$B$8:$B$42,SMALL(IF("Documento no web"='03.Muestra'!$D$8:$D$42,ROW('03.Muestra'!$B$8:$B$42)-MIN(ROW('03.Muestra'!$D$8:$D$42))+1,""),ROW()-94)),"")</f>
        <v>18</v>
      </c>
      <c r="B95" s="85" t="str" cm="1">
        <f t="array" ref="B95">IFERROR(INDEX('03.Muestra'!$C$8:$C$42,SMALL(IF("Documento no web"='03.Muestra'!$D$8:$D$42,ROW('03.Muestra'!$C$8:$C$42)-MIN(ROW('03.Muestra'!$D$8:$D$42))+1,""),ROW()-94)),"")</f>
        <v>Resolucion</v>
      </c>
      <c r="C95" s="85" t="str" cm="1">
        <f t="array" ref="C95">IFERROR(INDEX('03.Muestra'!$F$8:$F$42,SMALL(IF("Documento no web"='03.Muestra'!$D$8:$D$42,ROW('03.Muestra'!$F$8:$F$42)-MIN(ROW('03.Muestra'!$D$8:$D$42))+1,""),ROW()-94)),"")</f>
        <v>https://www.comunidad.madrid/tacp/busquedaresoluciones</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1</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24" t="s">
        <v>199</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IFERROR(INDEX('03.Muestra'!$B$8:$B$42,SMALL(IF("Documento no web"='03.Muestra'!$D$8:$D$42,ROW('03.Muestra'!$B$8:$B$42)-MIN(ROW('03.Muestra'!$D$8:$D$42))+1,""),ROW()-132)),"")</f>
        <v>18</v>
      </c>
      <c r="B133" s="85" t="str" cm="1">
        <f t="array" ref="B133">IFERROR(INDEX('03.Muestra'!$C$8:$C$42,SMALL(IF("Documento no web"='03.Muestra'!$D$8:$D$42,ROW('03.Muestra'!$C$8:$C$42)-MIN(ROW('03.Muestra'!$D$8:$D$42))+1,""),ROW()-132)),"")</f>
        <v>Resolucion</v>
      </c>
      <c r="C133" s="85" t="str" cm="1">
        <f t="array" ref="C133">IFERROR(INDEX('03.Muestra'!$F$8:$F$42,SMALL(IF("Documento no web"='03.Muestra'!$D$8:$D$42,ROW('03.Muestra'!$F$8:$F$42)-MIN(ROW('03.Muestra'!$D$8:$D$42))+1,""),ROW()-132)),"")</f>
        <v>https://www.comunidad.madrid/tacp/busquedaresoluciones</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1</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24" t="s">
        <v>200</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IFERROR(INDEX('03.Muestra'!$B$8:$B$42,SMALL(IF("Documento no web"='03.Muestra'!$D$8:$D$42,ROW('03.Muestra'!$B$8:$B$42)-MIN(ROW('03.Muestra'!$D$8:$D$42))+1,""),ROW()-170)),"")</f>
        <v>18</v>
      </c>
      <c r="B171" s="85" t="str" cm="1">
        <f t="array" ref="B171">IFERROR(INDEX('03.Muestra'!$C$8:$C$42,SMALL(IF("Documento no web"='03.Muestra'!$D$8:$D$42,ROW('03.Muestra'!$C$8:$C$42)-MIN(ROW('03.Muestra'!$D$8:$D$42))+1,""),ROW()-170)),"")</f>
        <v>Resolucion</v>
      </c>
      <c r="C171" s="85" t="str" cm="1">
        <f t="array" ref="C171">IFERROR(INDEX('03.Muestra'!$F$8:$F$42,SMALL(IF("Documento no web"='03.Muestra'!$D$8:$D$42,ROW('03.Muestra'!$F$8:$F$42)-MIN(ROW('03.Muestra'!$D$8:$D$42))+1,""),ROW()-170)),"")</f>
        <v>https://www.comunidad.madrid/tacp/busquedaresoluciones</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1</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201</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IFERROR(INDEX('03.Muestra'!$B$8:$B$42,SMALL(IF("Documento no web"='03.Muestra'!$D$8:$D$42,ROW('03.Muestra'!$B$8:$B$42)-MIN(ROW('03.Muestra'!$D$8:$D$42))+1,""),ROW()-208)),"")</f>
        <v>18</v>
      </c>
      <c r="B209" s="85" t="str" cm="1">
        <f t="array" ref="B209">IFERROR(INDEX('03.Muestra'!$C$8:$C$42,SMALL(IF("Documento no web"='03.Muestra'!$D$8:$D$42,ROW('03.Muestra'!$C$8:$C$42)-MIN(ROW('03.Muestra'!$D$8:$D$42))+1,""),ROW()-208)),"")</f>
        <v>Resolucion</v>
      </c>
      <c r="C209" s="85" t="str" cm="1">
        <f t="array" ref="C209">IFERROR(INDEX('03.Muestra'!$F$8:$F$42,SMALL(IF("Documento no web"='03.Muestra'!$D$8:$D$42,ROW('03.Muestra'!$F$8:$F$42)-MIN(ROW('03.Muestra'!$D$8:$D$42))+1,""),ROW()-208)),"")</f>
        <v>https://www.comunidad.madrid/tacp/busquedaresoluciones</v>
      </c>
      <c r="D209" s="99" t="s">
        <v>94</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1</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202</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IFERROR(INDEX('03.Muestra'!$B$8:$B$42,SMALL(IF("Documento no web"='03.Muestra'!$D$8:$D$42,ROW('03.Muestra'!$B$8:$B$42)-MIN(ROW('03.Muestra'!$D$8:$D$42))+1,""),ROW()-246)),"")</f>
        <v>18</v>
      </c>
      <c r="B247" s="85" t="str" cm="1">
        <f t="array" ref="B247">IFERROR(INDEX('03.Muestra'!$C$8:$C$42,SMALL(IF("Documento no web"='03.Muestra'!$D$8:$D$42,ROW('03.Muestra'!$C$8:$C$42)-MIN(ROW('03.Muestra'!$D$8:$D$42))+1,""),ROW()-246)),"")</f>
        <v>Resolucion</v>
      </c>
      <c r="C247" s="85" t="str" cm="1">
        <f t="array" ref="C247">IFERROR(INDEX('03.Muestra'!$F$8:$F$42,SMALL(IF("Documento no web"='03.Muestra'!$D$8:$D$42,ROW('03.Muestra'!$F$8:$F$42)-MIN(ROW('03.Muestra'!$D$8:$D$42))+1,""),ROW()-246)),"")</f>
        <v>https://www.comunidad.madrid/tacp/busquedaresoluciones</v>
      </c>
      <c r="D247" s="99" t="s">
        <v>94</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203</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IFERROR(INDEX('03.Muestra'!$B$8:$B$42,SMALL(IF("Documento no web"='03.Muestra'!$D$8:$D$42,ROW('03.Muestra'!$B$8:$B$42)-MIN(ROW('03.Muestra'!$D$8:$D$42))+1,""),ROW()-284)),"")</f>
        <v>18</v>
      </c>
      <c r="B285" s="85" t="str" cm="1">
        <f t="array" ref="B285">IFERROR(INDEX('03.Muestra'!$C$8:$C$42,SMALL(IF("Documento no web"='03.Muestra'!$D$8:$D$42,ROW('03.Muestra'!$C$8:$C$42)-MIN(ROW('03.Muestra'!$D$8:$D$42))+1,""),ROW()-284)),"")</f>
        <v>Resolucion</v>
      </c>
      <c r="C285" s="85" t="str" cm="1">
        <f t="array" ref="C285">IFERROR(INDEX('03.Muestra'!$F$8:$F$42,SMALL(IF("Documento no web"='03.Muestra'!$D$8:$D$42,ROW('03.Muestra'!$F$8:$F$42)-MIN(ROW('03.Muestra'!$D$8:$D$42))+1,""),ROW()-284)),"")</f>
        <v>https://www.comunidad.madrid/tacp/busquedaresoluciones</v>
      </c>
      <c r="D285" s="99" t="s">
        <v>106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1</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204</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IFERROR(INDEX('03.Muestra'!$B$8:$B$42,SMALL(IF("Documento no web"='03.Muestra'!$D$8:$D$42,ROW('03.Muestra'!$B$8:$B$42)-MIN(ROW('03.Muestra'!$D$8:$D$42))+1,""),ROW()-322)),"")</f>
        <v>18</v>
      </c>
      <c r="B323" s="85" t="str" cm="1">
        <f t="array" ref="B323">IFERROR(INDEX('03.Muestra'!$C$8:$C$42,SMALL(IF("Documento no web"='03.Muestra'!$D$8:$D$42,ROW('03.Muestra'!$C$8:$C$42)-MIN(ROW('03.Muestra'!$D$8:$D$42))+1,""),ROW()-322)),"")</f>
        <v>Resolucion</v>
      </c>
      <c r="C323" s="85" t="str" cm="1">
        <f t="array" ref="C323">IFERROR(INDEX('03.Muestra'!$F$8:$F$42,SMALL(IF("Documento no web"='03.Muestra'!$D$8:$D$42,ROW('03.Muestra'!$F$8:$F$42)-MIN(ROW('03.Muestra'!$D$8:$D$42))+1,""),ROW()-322)),"")</f>
        <v>https://www.comunidad.madrid/tacp/busquedaresoluciones</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1</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101</v>
      </c>
      <c r="B360" s="23" t="s">
        <v>93</v>
      </c>
      <c r="C360" s="24" t="s">
        <v>205</v>
      </c>
      <c r="D360" s="25" t="s">
        <v>103</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IFERROR(INDEX('03.Muestra'!$B$8:$B$42,SMALL(IF("Documento no web"='03.Muestra'!$D$8:$D$42,ROW('03.Muestra'!$B$8:$B$42)-MIN(ROW('03.Muestra'!$D$8:$D$42))+1,""),ROW()-360)),"")</f>
        <v>18</v>
      </c>
      <c r="B361" s="85" t="str" cm="1">
        <f t="array" ref="B361">IFERROR(INDEX('03.Muestra'!$C$8:$C$42,SMALL(IF("Documento no web"='03.Muestra'!$D$8:$D$42,ROW('03.Muestra'!$C$8:$C$42)-MIN(ROW('03.Muestra'!$D$8:$D$42))+1,""),ROW()-360)),"")</f>
        <v>Resolucion</v>
      </c>
      <c r="C361" s="85" t="str" cm="1">
        <f t="array" ref="C361">IFERROR(INDEX('03.Muestra'!$F$8:$F$42,SMALL(IF("Documento no web"='03.Muestra'!$D$8:$D$42,ROW('03.Muestra'!$F$8:$F$42)-MIN(ROW('03.Muestra'!$D$8:$D$42))+1,""),ROW()-360)),"")</f>
        <v>https://www.comunidad.madrid/tacp/busquedaresoluciones</v>
      </c>
      <c r="D361" s="99" t="s">
        <v>106</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1</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101</v>
      </c>
      <c r="B398" s="23" t="s">
        <v>93</v>
      </c>
      <c r="C398" s="24" t="s">
        <v>206</v>
      </c>
      <c r="D398" s="25" t="s">
        <v>103</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IFERROR(INDEX('03.Muestra'!$B$8:$B$42,SMALL(IF("Documento no web"='03.Muestra'!$D$8:$D$42,ROW('03.Muestra'!$B$8:$B$42)-MIN(ROW('03.Muestra'!$D$8:$D$42))+1,""),ROW()-398)),"")</f>
        <v>18</v>
      </c>
      <c r="B399" s="85" t="str" cm="1">
        <f t="array" ref="B399">IFERROR(INDEX('03.Muestra'!$C$8:$C$42,SMALL(IF("Documento no web"='03.Muestra'!$D$8:$D$42,ROW('03.Muestra'!$C$8:$C$42)-MIN(ROW('03.Muestra'!$D$8:$D$42))+1,""),ROW()-398)),"")</f>
        <v>Resolucion</v>
      </c>
      <c r="C399" s="85" t="str" cm="1">
        <f t="array" ref="C399">IFERROR(INDEX('03.Muestra'!$F$8:$F$42,SMALL(IF("Documento no web"='03.Muestra'!$D$8:$D$42,ROW('03.Muestra'!$F$8:$F$42)-MIN(ROW('03.Muestra'!$D$8:$D$42))+1,""),ROW()-398)),"")</f>
        <v>https://www.comunidad.madrid/tacp/busquedaresoluciones</v>
      </c>
      <c r="D399" s="99" t="s">
        <v>106</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1</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101</v>
      </c>
      <c r="B436" s="23" t="s">
        <v>93</v>
      </c>
      <c r="C436" s="24" t="s">
        <v>207</v>
      </c>
      <c r="D436" s="25" t="s">
        <v>103</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IFERROR(INDEX('03.Muestra'!$B$8:$B$42,SMALL(IF("Documento no web"='03.Muestra'!$D$8:$D$42,ROW('03.Muestra'!$B$8:$B$42)-MIN(ROW('03.Muestra'!$D$8:$D$42))+1,""),ROW()-436)),"")</f>
        <v>18</v>
      </c>
      <c r="B437" s="85" t="str" cm="1">
        <f t="array" ref="B437">IFERROR(INDEX('03.Muestra'!$C$8:$C$42,SMALL(IF("Documento no web"='03.Muestra'!$D$8:$D$42,ROW('03.Muestra'!$C$8:$C$42)-MIN(ROW('03.Muestra'!$D$8:$D$42))+1,""),ROW()-436)),"")</f>
        <v>Resolucion</v>
      </c>
      <c r="C437" s="85" t="str" cm="1">
        <f t="array" ref="C437">IFERROR(INDEX('03.Muestra'!$F$8:$F$42,SMALL(IF("Documento no web"='03.Muestra'!$D$8:$D$42,ROW('03.Muestra'!$F$8:$F$42)-MIN(ROW('03.Muestra'!$D$8:$D$42))+1,""),ROW()-436)),"")</f>
        <v>https://www.comunidad.madrid/tacp/busquedaresoluciones</v>
      </c>
      <c r="D437" s="99" t="s">
        <v>106</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1</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101</v>
      </c>
      <c r="B474" s="23" t="s">
        <v>93</v>
      </c>
      <c r="C474" s="24" t="s">
        <v>208</v>
      </c>
      <c r="D474" s="25" t="s">
        <v>103</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IFERROR(INDEX('03.Muestra'!$B$8:$B$42,SMALL(IF("Documento no web"='03.Muestra'!$D$8:$D$42,ROW('03.Muestra'!$B$8:$B$42)-MIN(ROW('03.Muestra'!$D$8:$D$42))+1,""),ROW()-474)),"")</f>
        <v>18</v>
      </c>
      <c r="B475" s="85" t="str" cm="1">
        <f t="array" ref="B475">IFERROR(INDEX('03.Muestra'!$C$8:$C$42,SMALL(IF("Documento no web"='03.Muestra'!$D$8:$D$42,ROW('03.Muestra'!$C$8:$C$42)-MIN(ROW('03.Muestra'!$D$8:$D$42))+1,""),ROW()-474)),"")</f>
        <v>Resolucion</v>
      </c>
      <c r="C475" s="85" t="str" cm="1">
        <f t="array" ref="C475">IFERROR(INDEX('03.Muestra'!$F$8:$F$42,SMALL(IF("Documento no web"='03.Muestra'!$D$8:$D$42,ROW('03.Muestra'!$F$8:$F$42)-MIN(ROW('03.Muestra'!$D$8:$D$42))+1,""),ROW()-474)),"")</f>
        <v>https://www.comunidad.madrid/tacp/busquedaresoluciones</v>
      </c>
      <c r="D475" s="99" t="s">
        <v>94</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101</v>
      </c>
      <c r="B512" s="23" t="s">
        <v>93</v>
      </c>
      <c r="C512" s="24" t="s">
        <v>209</v>
      </c>
      <c r="D512" s="25" t="s">
        <v>103</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IFERROR(INDEX('03.Muestra'!$B$8:$B$42,SMALL(IF("Documento no web"='03.Muestra'!$D$8:$D$42,ROW('03.Muestra'!$B$8:$B$42)-MIN(ROW('03.Muestra'!$D$8:$D$42))+1,""),ROW()-512)),"")</f>
        <v>18</v>
      </c>
      <c r="B513" s="85" t="str" cm="1">
        <f t="array" ref="B513">IFERROR(INDEX('03.Muestra'!$C$8:$C$42,SMALL(IF("Documento no web"='03.Muestra'!$D$8:$D$42,ROW('03.Muestra'!$C$8:$C$42)-MIN(ROW('03.Muestra'!$D$8:$D$42))+1,""),ROW()-512)),"")</f>
        <v>Resolucion</v>
      </c>
      <c r="C513" s="85" t="str" cm="1">
        <f t="array" ref="C513">IFERROR(INDEX('03.Muestra'!$F$8:$F$42,SMALL(IF("Documento no web"='03.Muestra'!$D$8:$D$42,ROW('03.Muestra'!$F$8:$F$42)-MIN(ROW('03.Muestra'!$D$8:$D$42))+1,""),ROW()-512)),"")</f>
        <v>https://www.comunidad.madrid/tacp/busquedaresoluciones</v>
      </c>
      <c r="D513" s="99" t="s">
        <v>106</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1</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101</v>
      </c>
      <c r="B550" s="23" t="s">
        <v>93</v>
      </c>
      <c r="C550" s="24" t="s">
        <v>210</v>
      </c>
      <c r="D550" s="25" t="s">
        <v>103</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IFERROR(INDEX('03.Muestra'!$B$8:$B$42,SMALL(IF("Documento no web"='03.Muestra'!$D$8:$D$42,ROW('03.Muestra'!$B$8:$B$42)-MIN(ROW('03.Muestra'!$D$8:$D$42))+1,""),ROW()-550)),"")</f>
        <v>18</v>
      </c>
      <c r="B551" s="85" t="str" cm="1">
        <f t="array" ref="B551">IFERROR(INDEX('03.Muestra'!$C$8:$C$42,SMALL(IF("Documento no web"='03.Muestra'!$D$8:$D$42,ROW('03.Muestra'!$C$8:$C$42)-MIN(ROW('03.Muestra'!$D$8:$D$42))+1,""),ROW()-550)),"")</f>
        <v>Resolucion</v>
      </c>
      <c r="C551" s="85" t="str" cm="1">
        <f t="array" ref="C551">IFERROR(INDEX('03.Muestra'!$F$8:$F$42,SMALL(IF("Documento no web"='03.Muestra'!$D$8:$D$42,ROW('03.Muestra'!$F$8:$F$42)-MIN(ROW('03.Muestra'!$D$8:$D$42))+1,""),ROW()-550)),"")</f>
        <v>https://www.comunidad.madrid/tacp/busquedaresoluciones</v>
      </c>
      <c r="D551" s="99" t="s">
        <v>106</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1</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101</v>
      </c>
      <c r="B588" s="23" t="s">
        <v>93</v>
      </c>
      <c r="C588" s="24" t="s">
        <v>211</v>
      </c>
      <c r="D588" s="25" t="s">
        <v>103</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IFERROR(INDEX('03.Muestra'!$B$8:$B$42,SMALL(IF("Documento no web"='03.Muestra'!$D$8:$D$42,ROW('03.Muestra'!$B$8:$B$42)-MIN(ROW('03.Muestra'!$D$8:$D$42))+1,""),ROW()-588)),"")</f>
        <v>18</v>
      </c>
      <c r="B589" s="85" t="str" cm="1">
        <f t="array" ref="B589">IFERROR(INDEX('03.Muestra'!$C$8:$C$42,SMALL(IF("Documento no web"='03.Muestra'!$D$8:$D$42,ROW('03.Muestra'!$C$8:$C$42)-MIN(ROW('03.Muestra'!$D$8:$D$42))+1,""),ROW()-588)),"")</f>
        <v>Resolucion</v>
      </c>
      <c r="C589" s="85" t="str" cm="1">
        <f t="array" ref="C589">IFERROR(INDEX('03.Muestra'!$F$8:$F$42,SMALL(IF("Documento no web"='03.Muestra'!$D$8:$D$42,ROW('03.Muestra'!$F$8:$F$42)-MIN(ROW('03.Muestra'!$D$8:$D$42))+1,""),ROW()-588)),"")</f>
        <v>https://www.comunidad.madrid/tacp/busquedaresoluciones</v>
      </c>
      <c r="D589" s="99" t="s">
        <v>106</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1</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101</v>
      </c>
      <c r="B626" s="23" t="s">
        <v>93</v>
      </c>
      <c r="C626" s="24" t="s">
        <v>212</v>
      </c>
      <c r="D626" s="25" t="s">
        <v>103</v>
      </c>
      <c r="E626" s="93"/>
      <c r="K626" s="184"/>
      <c r="L626" s="18"/>
      <c r="M626" s="18"/>
      <c r="N626" s="18"/>
      <c r="O626" s="18"/>
      <c r="P626" s="18"/>
      <c r="Q626" s="18"/>
      <c r="R626" s="18"/>
      <c r="S626" s="18"/>
      <c r="T626" s="18"/>
      <c r="U626" s="18"/>
      <c r="V626" s="18"/>
      <c r="W626" s="18"/>
      <c r="X626" s="18"/>
      <c r="Y626" s="18"/>
    </row>
    <row r="627" spans="1:25" ht="13.2" customHeight="1">
      <c r="A627" s="39" cm="1">
        <f t="array" ref="A627">IFERROR(INDEX('03.Muestra'!$B$8:$B$42,SMALL(IF("Documento no web"='03.Muestra'!$D$8:$D$42,ROW('03.Muestra'!$B$8:$B$42)-MIN(ROW('03.Muestra'!$D$8:$D$42))+1,""),ROW()-626)),"")</f>
        <v>18</v>
      </c>
      <c r="B627" s="85" t="str" cm="1">
        <f t="array" ref="B627">IFERROR(INDEX('03.Muestra'!$C$8:$C$42,SMALL(IF("Documento no web"='03.Muestra'!$D$8:$D$42,ROW('03.Muestra'!$C$8:$C$42)-MIN(ROW('03.Muestra'!$D$8:$D$42))+1,""),ROW()-626)),"")</f>
        <v>Resolucion</v>
      </c>
      <c r="C627" s="85" t="str" cm="1">
        <f t="array" ref="C627">IFERROR(INDEX('03.Muestra'!$F$8:$F$42,SMALL(IF("Documento no web"='03.Muestra'!$D$8:$D$42,ROW('03.Muestra'!$F$8:$F$42)-MIN(ROW('03.Muestra'!$D$8:$D$42))+1,""),ROW()-626)),"")</f>
        <v>https://www.comunidad.madrid/tacp/busquedaresoluciones</v>
      </c>
      <c r="D627" s="99" t="s">
        <v>106</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1</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101</v>
      </c>
      <c r="B664" s="23" t="s">
        <v>93</v>
      </c>
      <c r="C664" s="24" t="s">
        <v>213</v>
      </c>
      <c r="D664" s="25" t="s">
        <v>103</v>
      </c>
      <c r="E664" s="93"/>
      <c r="K664" s="184"/>
      <c r="L664" s="18"/>
      <c r="M664" s="18"/>
      <c r="N664" s="18"/>
      <c r="O664" s="18"/>
      <c r="P664" s="18"/>
      <c r="Q664" s="18"/>
      <c r="R664" s="18"/>
      <c r="S664" s="18"/>
      <c r="T664" s="18"/>
      <c r="U664" s="18"/>
      <c r="V664" s="18"/>
      <c r="W664" s="18"/>
      <c r="X664" s="18"/>
      <c r="Y664" s="18"/>
    </row>
    <row r="665" spans="1:25" ht="14.1" customHeight="1">
      <c r="A665" s="39" cm="1">
        <f t="array" ref="A665">IFERROR(INDEX('03.Muestra'!$B$8:$B$42,SMALL(IF("Documento no web"='03.Muestra'!$D$8:$D$42,ROW('03.Muestra'!$B$8:$B$42)-MIN(ROW('03.Muestra'!$D$8:$D$42))+1,""),ROW()-664)),"")</f>
        <v>18</v>
      </c>
      <c r="B665" s="85" t="str" cm="1">
        <f t="array" ref="B665">IFERROR(INDEX('03.Muestra'!$C$8:$C$42,SMALL(IF("Documento no web"='03.Muestra'!$D$8:$D$42,ROW('03.Muestra'!$C$8:$C$42)-MIN(ROW('03.Muestra'!$D$8:$D$42))+1,""),ROW()-664)),"")</f>
        <v>Resolucion</v>
      </c>
      <c r="C665" s="85" t="str" cm="1">
        <f t="array" ref="C665">IFERROR(INDEX('03.Muestra'!$F$8:$F$42,SMALL(IF("Documento no web"='03.Muestra'!$D$8:$D$42,ROW('03.Muestra'!$F$8:$F$42)-MIN(ROW('03.Muestra'!$D$8:$D$42))+1,""),ROW()-664)),"")</f>
        <v>https://www.comunidad.madrid/tacp/busquedaresoluciones</v>
      </c>
      <c r="D665" s="99" t="s">
        <v>106</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1</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101</v>
      </c>
      <c r="B702" s="23" t="s">
        <v>93</v>
      </c>
      <c r="C702" s="24" t="s">
        <v>214</v>
      </c>
      <c r="D702" s="25" t="s">
        <v>103</v>
      </c>
      <c r="E702" s="93"/>
      <c r="J702" s="95"/>
      <c r="K702" s="184"/>
      <c r="L702" s="18"/>
      <c r="M702" s="18"/>
      <c r="N702" s="18"/>
      <c r="O702" s="18"/>
      <c r="P702" s="18"/>
      <c r="Q702" s="18"/>
      <c r="R702" s="18"/>
      <c r="S702" s="18"/>
      <c r="T702" s="18"/>
      <c r="U702" s="18"/>
      <c r="V702" s="18"/>
      <c r="W702" s="18"/>
      <c r="X702" s="18"/>
      <c r="Y702" s="18"/>
    </row>
    <row r="703" spans="1:25" ht="14.1" customHeight="1">
      <c r="A703" s="39" cm="1">
        <f t="array" ref="A703">IFERROR(INDEX('03.Muestra'!$B$8:$B$42,SMALL(IF("Documento no web"='03.Muestra'!$D$8:$D$42,ROW('03.Muestra'!$B$8:$B$42)-MIN(ROW('03.Muestra'!$D$8:$D$42))+1,""),ROW()-702)),"")</f>
        <v>18</v>
      </c>
      <c r="B703" s="85" t="str" cm="1">
        <f t="array" ref="B703">IFERROR(INDEX('03.Muestra'!$C$8:$C$42,SMALL(IF("Documento no web"='03.Muestra'!$D$8:$D$42,ROW('03.Muestra'!$C$8:$C$42)-MIN(ROW('03.Muestra'!$D$8:$D$42))+1,""),ROW()-702)),"")</f>
        <v>Resolucion</v>
      </c>
      <c r="C703" s="85" t="str" cm="1">
        <f t="array" ref="C703">IFERROR(INDEX('03.Muestra'!$F$8:$F$42,SMALL(IF("Documento no web"='03.Muestra'!$D$8:$D$42,ROW('03.Muestra'!$F$8:$F$42)-MIN(ROW('03.Muestra'!$D$8:$D$42))+1,""),ROW()-702)),"")</f>
        <v>https://www.comunidad.madrid/tacp/busquedaresoluciones</v>
      </c>
      <c r="D703" s="99" t="s">
        <v>106</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1</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101</v>
      </c>
      <c r="B740" s="23" t="s">
        <v>93</v>
      </c>
      <c r="C740" s="24" t="s">
        <v>215</v>
      </c>
      <c r="D740" s="25" t="s">
        <v>103</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IFERROR(INDEX('03.Muestra'!$B$8:$B$42,SMALL(IF("Documento no web"='03.Muestra'!$D$8:$D$42,ROW('03.Muestra'!$B$8:$B$42)-MIN(ROW('03.Muestra'!$D$8:$D$42))+1,""),ROW()-740)),"")</f>
        <v>18</v>
      </c>
      <c r="B741" s="85" t="str" cm="1">
        <f t="array" ref="B741">IFERROR(INDEX('03.Muestra'!$C$8:$C$42,SMALL(IF("Documento no web"='03.Muestra'!$D$8:$D$42,ROW('03.Muestra'!$C$8:$C$42)-MIN(ROW('03.Muestra'!$D$8:$D$42))+1,""),ROW()-740)),"")</f>
        <v>Resolucion</v>
      </c>
      <c r="C741" s="85" t="str" cm="1">
        <f t="array" ref="C741">IFERROR(INDEX('03.Muestra'!$F$8:$F$42,SMALL(IF("Documento no web"='03.Muestra'!$D$8:$D$42,ROW('03.Muestra'!$F$8:$F$42)-MIN(ROW('03.Muestra'!$D$8:$D$42))+1,""),ROW()-740)),"")</f>
        <v>https://www.comunidad.madrid/tacp/busquedaresoluciones</v>
      </c>
      <c r="D741" s="99" t="s">
        <v>106</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1</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101</v>
      </c>
      <c r="B778" s="23" t="s">
        <v>93</v>
      </c>
      <c r="C778" s="24" t="s">
        <v>216</v>
      </c>
      <c r="D778" s="25" t="s">
        <v>103</v>
      </c>
      <c r="E778" s="93"/>
      <c r="K778" s="184"/>
      <c r="L778" s="18"/>
      <c r="M778" s="18"/>
      <c r="N778" s="18"/>
      <c r="O778" s="18"/>
      <c r="P778" s="18"/>
      <c r="Q778" s="18"/>
      <c r="R778" s="18"/>
      <c r="S778" s="18"/>
      <c r="T778" s="18"/>
      <c r="U778" s="18"/>
      <c r="V778" s="18"/>
      <c r="W778" s="18"/>
      <c r="X778" s="18"/>
      <c r="Y778" s="18"/>
    </row>
    <row r="779" spans="1:25" ht="13.5" customHeight="1">
      <c r="A779" s="39" cm="1">
        <f t="array" ref="A779">IFERROR(INDEX('03.Muestra'!$B$8:$B$42,SMALL(IF("Documento no web"='03.Muestra'!$D$8:$D$42,ROW('03.Muestra'!$B$8:$B$42)-MIN(ROW('03.Muestra'!$D$8:$D$42))+1,""),ROW()-778)),"")</f>
        <v>18</v>
      </c>
      <c r="B779" s="85" t="str" cm="1">
        <f t="array" ref="B779">IFERROR(INDEX('03.Muestra'!$C$8:$C$42,SMALL(IF("Documento no web"='03.Muestra'!$D$8:$D$42,ROW('03.Muestra'!$C$8:$C$42)-MIN(ROW('03.Muestra'!$D$8:$D$42))+1,""),ROW()-778)),"")</f>
        <v>Resolucion</v>
      </c>
      <c r="C779" s="85" t="str" cm="1">
        <f t="array" ref="C779">IFERROR(INDEX('03.Muestra'!$F$8:$F$42,SMALL(IF("Documento no web"='03.Muestra'!$D$8:$D$42,ROW('03.Muestra'!$F$8:$F$42)-MIN(ROW('03.Muestra'!$D$8:$D$42))+1,""),ROW()-778)),"")</f>
        <v>https://www.comunidad.madrid/tacp/busquedaresoluciones</v>
      </c>
      <c r="D779" s="99" t="s">
        <v>106</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1</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101</v>
      </c>
      <c r="B816" s="23" t="s">
        <v>93</v>
      </c>
      <c r="C816" s="24" t="s">
        <v>217</v>
      </c>
      <c r="D816" s="25" t="s">
        <v>103</v>
      </c>
      <c r="E816" s="93"/>
      <c r="K816" s="184"/>
      <c r="L816" s="18"/>
      <c r="M816" s="18"/>
      <c r="N816" s="18"/>
      <c r="O816" s="18"/>
      <c r="P816" s="18"/>
      <c r="Q816" s="18"/>
      <c r="R816" s="18"/>
      <c r="S816" s="18"/>
      <c r="T816" s="18"/>
      <c r="U816" s="18"/>
      <c r="V816" s="18"/>
      <c r="W816" s="18"/>
      <c r="X816" s="18"/>
      <c r="Y816" s="18"/>
    </row>
    <row r="817" spans="1:25" ht="13.5" customHeight="1">
      <c r="A817" s="39" cm="1">
        <f t="array" ref="A817">IFERROR(INDEX('03.Muestra'!$B$8:$B$42,SMALL(IF("Documento no web"='03.Muestra'!$D$8:$D$42,ROW('03.Muestra'!$B$8:$B$42)-MIN(ROW('03.Muestra'!$D$8:$D$42))+1,""),ROW()-816)),"")</f>
        <v>18</v>
      </c>
      <c r="B817" s="85" t="str" cm="1">
        <f t="array" ref="B817">IFERROR(INDEX('03.Muestra'!$C$8:$C$42,SMALL(IF("Documento no web"='03.Muestra'!$D$8:$D$42,ROW('03.Muestra'!$C$8:$C$42)-MIN(ROW('03.Muestra'!$D$8:$D$42))+1,""),ROW()-816)),"")</f>
        <v>Resolucion</v>
      </c>
      <c r="C817" s="85" t="str" cm="1">
        <f t="array" ref="C817">IFERROR(INDEX('03.Muestra'!$F$8:$F$42,SMALL(IF("Documento no web"='03.Muestra'!$D$8:$D$42,ROW('03.Muestra'!$F$8:$F$42)-MIN(ROW('03.Muestra'!$D$8:$D$42))+1,""),ROW()-816)),"")</f>
        <v>https://www.comunidad.madrid/tacp/busquedaresoluciones</v>
      </c>
      <c r="D817" s="99" t="s">
        <v>106</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1</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101</v>
      </c>
      <c r="B854" s="23" t="s">
        <v>93</v>
      </c>
      <c r="C854" s="24" t="s">
        <v>218</v>
      </c>
      <c r="D854" s="25" t="s">
        <v>103</v>
      </c>
      <c r="E854" s="93"/>
      <c r="K854" s="184"/>
      <c r="L854" s="18"/>
      <c r="M854" s="18"/>
      <c r="N854" s="18"/>
      <c r="O854" s="18"/>
      <c r="P854" s="18"/>
      <c r="Q854" s="18"/>
      <c r="R854" s="18"/>
      <c r="S854" s="18"/>
      <c r="T854" s="18"/>
      <c r="U854" s="18"/>
      <c r="V854" s="18"/>
      <c r="W854" s="18"/>
      <c r="X854" s="18"/>
      <c r="Y854" s="18"/>
    </row>
    <row r="855" spans="1:25" ht="13.5" customHeight="1">
      <c r="A855" s="39" cm="1">
        <f t="array" ref="A855">IFERROR(INDEX('03.Muestra'!$B$8:$B$42,SMALL(IF("Documento no web"='03.Muestra'!$D$8:$D$42,ROW('03.Muestra'!$B$8:$B$42)-MIN(ROW('03.Muestra'!$D$8:$D$42))+1,""),ROW()-854)),"")</f>
        <v>18</v>
      </c>
      <c r="B855" s="85" t="str" cm="1">
        <f t="array" ref="B855">IFERROR(INDEX('03.Muestra'!$C$8:$C$42,SMALL(IF("Documento no web"='03.Muestra'!$D$8:$D$42,ROW('03.Muestra'!$C$8:$C$42)-MIN(ROW('03.Muestra'!$D$8:$D$42))+1,""),ROW()-854)),"")</f>
        <v>Resolucion</v>
      </c>
      <c r="C855" s="85" t="str" cm="1">
        <f t="array" ref="C855">IFERROR(INDEX('03.Muestra'!$F$8:$F$42,SMALL(IF("Documento no web"='03.Muestra'!$D$8:$D$42,ROW('03.Muestra'!$F$8:$F$42)-MIN(ROW('03.Muestra'!$D$8:$D$42))+1,""),ROW()-854)),"")</f>
        <v>https://www.comunidad.madrid/tacp/busquedaresoluciones</v>
      </c>
      <c r="D855" s="99" t="s">
        <v>106</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1</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101</v>
      </c>
      <c r="B892" s="23" t="s">
        <v>93</v>
      </c>
      <c r="C892" s="24" t="s">
        <v>219</v>
      </c>
      <c r="D892" s="25" t="s">
        <v>103</v>
      </c>
      <c r="E892" s="93"/>
      <c r="K892" s="184"/>
      <c r="L892" s="18"/>
      <c r="M892" s="18"/>
      <c r="N892" s="18"/>
      <c r="O892" s="18"/>
      <c r="P892" s="18"/>
      <c r="Q892" s="18"/>
      <c r="R892" s="18"/>
      <c r="S892" s="18"/>
      <c r="T892" s="18"/>
      <c r="U892" s="18"/>
      <c r="V892" s="18"/>
      <c r="W892" s="18"/>
      <c r="X892" s="18"/>
      <c r="Y892" s="18"/>
    </row>
    <row r="893" spans="1:25" ht="13.5" customHeight="1">
      <c r="A893" s="39" cm="1">
        <f t="array" ref="A893">IFERROR(INDEX('03.Muestra'!$B$8:$B$42,SMALL(IF("Documento no web"='03.Muestra'!$D$8:$D$42,ROW('03.Muestra'!$B$8:$B$42)-MIN(ROW('03.Muestra'!$D$8:$D$42))+1,""),ROW()-892)),"")</f>
        <v>18</v>
      </c>
      <c r="B893" s="85" t="str" cm="1">
        <f t="array" ref="B893">IFERROR(INDEX('03.Muestra'!$C$8:$C$42,SMALL(IF("Documento no web"='03.Muestra'!$D$8:$D$42,ROW('03.Muestra'!$C$8:$C$42)-MIN(ROW('03.Muestra'!$D$8:$D$42))+1,""),ROW()-892)),"")</f>
        <v>Resolucion</v>
      </c>
      <c r="C893" s="85" t="str" cm="1">
        <f t="array" ref="C893">IFERROR(INDEX('03.Muestra'!$F$8:$F$42,SMALL(IF("Documento no web"='03.Muestra'!$D$8:$D$42,ROW('03.Muestra'!$F$8:$F$42)-MIN(ROW('03.Muestra'!$D$8:$D$42))+1,""),ROW()-892)),"")</f>
        <v>https://www.comunidad.madrid/tacp/busquedaresoluciones</v>
      </c>
      <c r="D893" s="99" t="s">
        <v>106</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1</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101</v>
      </c>
      <c r="B930" s="23" t="s">
        <v>93</v>
      </c>
      <c r="C930" s="24" t="s">
        <v>220</v>
      </c>
      <c r="D930" s="25" t="s">
        <v>103</v>
      </c>
      <c r="E930" s="93"/>
      <c r="K930" s="184"/>
      <c r="L930" s="18"/>
      <c r="M930" s="18"/>
      <c r="N930" s="18"/>
      <c r="O930" s="18"/>
      <c r="P930" s="18"/>
      <c r="Q930" s="18"/>
      <c r="R930" s="18"/>
      <c r="S930" s="18"/>
      <c r="T930" s="18"/>
      <c r="U930" s="18"/>
      <c r="V930" s="18"/>
      <c r="W930" s="18"/>
      <c r="X930" s="18"/>
      <c r="Y930" s="18"/>
    </row>
    <row r="931" spans="1:25" ht="13.5" customHeight="1">
      <c r="A931" s="39" cm="1">
        <f t="array" ref="A931">IFERROR(INDEX('03.Muestra'!$B$8:$B$42,SMALL(IF("Documento no web"='03.Muestra'!$D$8:$D$42,ROW('03.Muestra'!$B$8:$B$42)-MIN(ROW('03.Muestra'!$D$8:$D$42))+1,""),ROW()-930)),"")</f>
        <v>18</v>
      </c>
      <c r="B931" s="85" t="str" cm="1">
        <f t="array" ref="B931">IFERROR(INDEX('03.Muestra'!$C$8:$C$42,SMALL(IF("Documento no web"='03.Muestra'!$D$8:$D$42,ROW('03.Muestra'!$C$8:$C$42)-MIN(ROW('03.Muestra'!$D$8:$D$42))+1,""),ROW()-930)),"")</f>
        <v>Resolucion</v>
      </c>
      <c r="C931" s="85" t="str" cm="1">
        <f t="array" ref="C931">IFERROR(INDEX('03.Muestra'!$F$8:$F$42,SMALL(IF("Documento no web"='03.Muestra'!$D$8:$D$42,ROW('03.Muestra'!$F$8:$F$42)-MIN(ROW('03.Muestra'!$D$8:$D$42))+1,""),ROW()-930)),"")</f>
        <v>https://www.comunidad.madrid/tacp/busquedaresoluciones</v>
      </c>
      <c r="D931" s="99" t="s">
        <v>106</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1</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101</v>
      </c>
      <c r="B968" s="23" t="s">
        <v>93</v>
      </c>
      <c r="C968" s="24" t="s">
        <v>221</v>
      </c>
      <c r="D968" s="25" t="s">
        <v>103</v>
      </c>
      <c r="E968" s="93"/>
      <c r="K968" s="184"/>
      <c r="L968" s="18"/>
      <c r="M968" s="18"/>
      <c r="N968" s="18"/>
      <c r="O968" s="18"/>
      <c r="P968" s="18"/>
      <c r="Q968" s="18"/>
      <c r="R968" s="18"/>
      <c r="S968" s="18"/>
      <c r="T968" s="18"/>
      <c r="U968" s="18"/>
      <c r="V968" s="18"/>
      <c r="W968" s="18"/>
      <c r="X968" s="18"/>
      <c r="Y968" s="18"/>
    </row>
    <row r="969" spans="1:25" ht="13.5" customHeight="1">
      <c r="A969" s="39" cm="1">
        <f t="array" ref="A969">IFERROR(INDEX('03.Muestra'!$B$8:$B$42,SMALL(IF("Documento no web"='03.Muestra'!$D$8:$D$42,ROW('03.Muestra'!$B$8:$B$42)-MIN(ROW('03.Muestra'!$D$8:$D$42))+1,""),ROW()-968)),"")</f>
        <v>18</v>
      </c>
      <c r="B969" s="85" t="str" cm="1">
        <f t="array" ref="B969">IFERROR(INDEX('03.Muestra'!$C$8:$C$42,SMALL(IF("Documento no web"='03.Muestra'!$D$8:$D$42,ROW('03.Muestra'!$C$8:$C$42)-MIN(ROW('03.Muestra'!$D$8:$D$42))+1,""),ROW()-968)),"")</f>
        <v>Resolucion</v>
      </c>
      <c r="C969" s="85" t="str" cm="1">
        <f t="array" ref="C969">IFERROR(INDEX('03.Muestra'!$F$8:$F$42,SMALL(IF("Documento no web"='03.Muestra'!$D$8:$D$42,ROW('03.Muestra'!$F$8:$F$42)-MIN(ROW('03.Muestra'!$D$8:$D$42))+1,""),ROW()-968)),"")</f>
        <v>https://www.comunidad.madrid/tacp/busquedaresoluciones</v>
      </c>
      <c r="D969" s="99" t="s">
        <v>96</v>
      </c>
      <c r="E969" s="79" t="str">
        <f t="shared" ref="E969:E1004"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1</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101</v>
      </c>
      <c r="B1006" s="23" t="s">
        <v>93</v>
      </c>
      <c r="C1006" s="24" t="s">
        <v>222</v>
      </c>
      <c r="D1006" s="25" t="s">
        <v>103</v>
      </c>
      <c r="E1006" s="93"/>
      <c r="K1006" s="184"/>
      <c r="L1006" s="18"/>
      <c r="M1006" s="18"/>
      <c r="N1006" s="18"/>
      <c r="O1006" s="18"/>
      <c r="P1006" s="18"/>
      <c r="Q1006" s="18"/>
      <c r="R1006" s="18"/>
      <c r="S1006" s="18"/>
      <c r="T1006" s="18"/>
      <c r="U1006" s="18"/>
      <c r="V1006" s="18"/>
      <c r="W1006" s="18"/>
      <c r="X1006" s="18"/>
      <c r="Y1006" s="18"/>
    </row>
    <row r="1007" spans="1:25" ht="13.5" customHeight="1">
      <c r="A1007" s="39" cm="1">
        <f t="array" ref="A1007">IFERROR(INDEX('03.Muestra'!$B$8:$B$42,SMALL(IF("Documento no web"='03.Muestra'!$D$8:$D$42,ROW('03.Muestra'!$B$8:$B$42)-MIN(ROW('03.Muestra'!$D$8:$D$42))+1,""),ROW()-1006)),"")</f>
        <v>18</v>
      </c>
      <c r="B1007" s="85" t="str" cm="1">
        <f t="array" ref="B1007">IFERROR(INDEX('03.Muestra'!$C$8:$C$42,SMALL(IF("Documento no web"='03.Muestra'!$D$8:$D$42,ROW('03.Muestra'!$C$8:$C$42)-MIN(ROW('03.Muestra'!$D$8:$D$42))+1,""),ROW()-1006)),"")</f>
        <v>Resolucion</v>
      </c>
      <c r="C1007" s="85" t="str" cm="1">
        <f t="array" ref="C1007">IFERROR(INDEX('03.Muestra'!$F$8:$F$42,SMALL(IF("Documento no web"='03.Muestra'!$D$8:$D$42,ROW('03.Muestra'!$F$8:$F$42)-MIN(ROW('03.Muestra'!$D$8:$D$42))+1,""),ROW()-1006)),"")</f>
        <v>https://www.comunidad.madrid/tacp/busquedaresoluciones</v>
      </c>
      <c r="D1007" s="99" t="s">
        <v>106</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1</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101</v>
      </c>
      <c r="B1044" s="23" t="s">
        <v>93</v>
      </c>
      <c r="C1044" s="24" t="s">
        <v>223</v>
      </c>
      <c r="D1044" s="25" t="s">
        <v>103</v>
      </c>
      <c r="E1044" s="93"/>
      <c r="K1044" s="184"/>
      <c r="L1044" s="18"/>
      <c r="M1044" s="18"/>
      <c r="N1044" s="18"/>
      <c r="O1044" s="18"/>
      <c r="P1044" s="18"/>
      <c r="Q1044" s="18"/>
      <c r="R1044" s="18"/>
      <c r="S1044" s="18"/>
      <c r="T1044" s="18"/>
      <c r="U1044" s="18"/>
      <c r="V1044" s="18"/>
      <c r="W1044" s="18"/>
      <c r="X1044" s="18"/>
      <c r="Y1044" s="18"/>
    </row>
    <row r="1045" spans="1:25" ht="13.5" customHeight="1">
      <c r="A1045" s="39" cm="1">
        <f t="array" ref="A1045">IFERROR(INDEX('03.Muestra'!$B$8:$B$42,SMALL(IF("Documento no web"='03.Muestra'!$D$8:$D$42,ROW('03.Muestra'!$B$8:$B$42)-MIN(ROW('03.Muestra'!$D$8:$D$42))+1,""),ROW()-1044)),"")</f>
        <v>18</v>
      </c>
      <c r="B1045" s="85" t="str" cm="1">
        <f t="array" ref="B1045">IFERROR(INDEX('03.Muestra'!$C$8:$C$42,SMALL(IF("Documento no web"='03.Muestra'!$D$8:$D$42,ROW('03.Muestra'!$C$8:$C$42)-MIN(ROW('03.Muestra'!$D$8:$D$42))+1,""),ROW()-1044)),"")</f>
        <v>Resolucion</v>
      </c>
      <c r="C1045" s="85" t="str" cm="1">
        <f t="array" ref="C1045">IFERROR(INDEX('03.Muestra'!$F$8:$F$42,SMALL(IF("Documento no web"='03.Muestra'!$D$8:$D$42,ROW('03.Muestra'!$F$8:$F$42)-MIN(ROW('03.Muestra'!$D$8:$D$42))+1,""),ROW()-1044)),"")</f>
        <v>https://www.comunidad.madrid/tacp/busquedaresoluciones</v>
      </c>
      <c r="D1045" s="99" t="s">
        <v>106</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1</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101</v>
      </c>
      <c r="B1082" s="23" t="s">
        <v>93</v>
      </c>
      <c r="C1082" s="24" t="s">
        <v>224</v>
      </c>
      <c r="D1082" s="25" t="s">
        <v>103</v>
      </c>
      <c r="E1082" s="93"/>
      <c r="K1082" s="184"/>
      <c r="L1082" s="18"/>
      <c r="M1082" s="18"/>
      <c r="N1082" s="18"/>
      <c r="O1082" s="18"/>
      <c r="P1082" s="18"/>
      <c r="Q1082" s="18"/>
      <c r="R1082" s="18"/>
      <c r="S1082" s="18"/>
      <c r="T1082" s="18"/>
      <c r="U1082" s="18"/>
      <c r="V1082" s="18"/>
      <c r="W1082" s="18"/>
      <c r="X1082" s="18"/>
      <c r="Y1082" s="18"/>
    </row>
    <row r="1083" spans="1:25" ht="13.5" customHeight="1">
      <c r="A1083" s="39" cm="1">
        <f t="array" ref="A1083">IFERROR(INDEX('03.Muestra'!$B$8:$B$42,SMALL(IF("Documento no web"='03.Muestra'!$D$8:$D$42,ROW('03.Muestra'!$B$8:$B$42)-MIN(ROW('03.Muestra'!$D$8:$D$42))+1,""),ROW()-1082)),"")</f>
        <v>18</v>
      </c>
      <c r="B1083" s="85" t="str" cm="1">
        <f t="array" ref="B1083">IFERROR(INDEX('03.Muestra'!$C$8:$C$42,SMALL(IF("Documento no web"='03.Muestra'!$D$8:$D$42,ROW('03.Muestra'!$C$8:$C$42)-MIN(ROW('03.Muestra'!$D$8:$D$42))+1,""),ROW()-1082)),"")</f>
        <v>Resolucion</v>
      </c>
      <c r="C1083" s="85" t="str" cm="1">
        <f t="array" ref="C1083">IFERROR(INDEX('03.Muestra'!$F$8:$F$42,SMALL(IF("Documento no web"='03.Muestra'!$D$8:$D$42,ROW('03.Muestra'!$F$8:$F$42)-MIN(ROW('03.Muestra'!$D$8:$D$42))+1,""),ROW()-1082)),"")</f>
        <v>https://www.comunidad.madrid/tacp/busquedaresoluciones</v>
      </c>
      <c r="D1083" s="99" t="s">
        <v>94</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101</v>
      </c>
      <c r="B1120" s="23" t="s">
        <v>93</v>
      </c>
      <c r="C1120" s="24" t="s">
        <v>225</v>
      </c>
      <c r="D1120" s="25" t="s">
        <v>103</v>
      </c>
      <c r="E1120" s="93"/>
      <c r="K1120" s="184"/>
      <c r="L1120" s="18"/>
      <c r="M1120" s="18"/>
      <c r="N1120" s="18"/>
      <c r="O1120" s="18"/>
      <c r="P1120" s="18"/>
      <c r="Q1120" s="18"/>
      <c r="R1120" s="18"/>
      <c r="S1120" s="18"/>
      <c r="T1120" s="18"/>
      <c r="U1120" s="18"/>
      <c r="V1120" s="18"/>
      <c r="W1120" s="18"/>
      <c r="X1120" s="18"/>
      <c r="Y1120" s="18"/>
    </row>
    <row r="1121" spans="1:25" ht="13.5" customHeight="1">
      <c r="A1121" s="39" cm="1">
        <f t="array" ref="A1121">IFERROR(INDEX('03.Muestra'!$B$8:$B$42,SMALL(IF("Documento no web"='03.Muestra'!$D$8:$D$42,ROW('03.Muestra'!$B$8:$B$42)-MIN(ROW('03.Muestra'!$D$8:$D$42))+1,""),ROW()-1120)),"")</f>
        <v>18</v>
      </c>
      <c r="B1121" s="85" t="str" cm="1">
        <f t="array" ref="B1121">IFERROR(INDEX('03.Muestra'!$C$8:$C$42,SMALL(IF("Documento no web"='03.Muestra'!$D$8:$D$42,ROW('03.Muestra'!$C$8:$C$42)-MIN(ROW('03.Muestra'!$D$8:$D$42))+1,""),ROW()-1120)),"")</f>
        <v>Resolucion</v>
      </c>
      <c r="C1121" s="85" t="str" cm="1">
        <f t="array" ref="C1121">IFERROR(INDEX('03.Muestra'!$F$8:$F$42,SMALL(IF("Documento no web"='03.Muestra'!$D$8:$D$42,ROW('03.Muestra'!$F$8:$F$42)-MIN(ROW('03.Muestra'!$D$8:$D$42))+1,""),ROW()-1120)),"")</f>
        <v>https://www.comunidad.madrid/tacp/busquedaresoluciones</v>
      </c>
      <c r="D1121" s="99" t="s">
        <v>106</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1</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101</v>
      </c>
      <c r="B1158" s="23" t="s">
        <v>93</v>
      </c>
      <c r="C1158" s="24" t="s">
        <v>226</v>
      </c>
      <c r="D1158" s="25" t="s">
        <v>103</v>
      </c>
      <c r="E1158" s="93"/>
      <c r="K1158" s="184"/>
      <c r="L1158" s="18"/>
      <c r="M1158" s="18"/>
      <c r="N1158" s="18"/>
      <c r="O1158" s="18"/>
      <c r="P1158" s="18"/>
      <c r="Q1158" s="18"/>
      <c r="R1158" s="18"/>
      <c r="S1158" s="18"/>
      <c r="T1158" s="18"/>
      <c r="U1158" s="18"/>
      <c r="V1158" s="18"/>
      <c r="W1158" s="18"/>
      <c r="X1158" s="18"/>
      <c r="Y1158" s="18"/>
    </row>
    <row r="1159" spans="1:25" ht="13.5" customHeight="1">
      <c r="A1159" s="39" cm="1">
        <f t="array" ref="A1159">IFERROR(INDEX('03.Muestra'!$B$8:$B$42,SMALL(IF("Documento no web"='03.Muestra'!$D$8:$D$42,ROW('03.Muestra'!$B$8:$B$42)-MIN(ROW('03.Muestra'!$D$8:$D$42))+1,""),ROW()-1158)),"")</f>
        <v>18</v>
      </c>
      <c r="B1159" s="85" t="str" cm="1">
        <f t="array" ref="B1159">IFERROR(INDEX('03.Muestra'!$C$8:$C$42,SMALL(IF("Documento no web"='03.Muestra'!$D$8:$D$42,ROW('03.Muestra'!$C$8:$C$42)-MIN(ROW('03.Muestra'!$D$8:$D$42))+1,""),ROW()-1158)),"")</f>
        <v>Resolucion</v>
      </c>
      <c r="C1159" s="85" t="str" cm="1">
        <f t="array" ref="C1159">IFERROR(INDEX('03.Muestra'!$F$8:$F$42,SMALL(IF("Documento no web"='03.Muestra'!$D$8:$D$42,ROW('03.Muestra'!$F$8:$F$42)-MIN(ROW('03.Muestra'!$D$8:$D$42))+1,""),ROW()-1158)),"")</f>
        <v>https://www.comunidad.madrid/tacp/busquedaresoluciones</v>
      </c>
      <c r="D1159" s="99" t="s">
        <v>106</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1</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101</v>
      </c>
      <c r="B1196" s="23" t="s">
        <v>93</v>
      </c>
      <c r="C1196" s="24" t="s">
        <v>227</v>
      </c>
      <c r="D1196" s="25" t="s">
        <v>103</v>
      </c>
      <c r="E1196" s="93"/>
      <c r="K1196" s="184"/>
      <c r="L1196" s="18"/>
    </row>
    <row r="1197" spans="1:25" ht="13.5" customHeight="1">
      <c r="A1197" s="39" cm="1">
        <f t="array" ref="A1197">IFERROR(INDEX('03.Muestra'!$B$8:$B$42,SMALL(IF("Documento no web"='03.Muestra'!$D$8:$D$42,ROW('03.Muestra'!$B$8:$B$42)-MIN(ROW('03.Muestra'!$D$8:$D$42))+1,""),ROW()-1196)),"")</f>
        <v>18</v>
      </c>
      <c r="B1197" s="85" t="str" cm="1">
        <f t="array" ref="B1197">IFERROR(INDEX('03.Muestra'!$C$8:$C$42,SMALL(IF("Documento no web"='03.Muestra'!$D$8:$D$42,ROW('03.Muestra'!$C$8:$C$42)-MIN(ROW('03.Muestra'!$D$8:$D$42))+1,""),ROW()-1196)),"")</f>
        <v>Resolucion</v>
      </c>
      <c r="C1197" s="85" t="str" cm="1">
        <f t="array" ref="C1197">IFERROR(INDEX('03.Muestra'!$F$8:$F$42,SMALL(IF("Documento no web"='03.Muestra'!$D$8:$D$42,ROW('03.Muestra'!$F$8:$F$42)-MIN(ROW('03.Muestra'!$D$8:$D$42))+1,""),ROW()-1196)),"")</f>
        <v>https://www.comunidad.madrid/tacp/busquedaresoluciones</v>
      </c>
      <c r="D1197" s="99" t="s">
        <v>106</v>
      </c>
      <c r="E1197" s="79" t="str">
        <f t="shared" ref="E1197:E1231" si="62">IF(D1197&lt;&gt;"",IF(AND(B1197&lt;&gt;"",C1197&lt;&gt;""),"","ERR"),"")</f>
        <v/>
      </c>
      <c r="F1197" s="86" t="s">
        <v>104</v>
      </c>
      <c r="G1197" s="87" t="s">
        <v>105</v>
      </c>
      <c r="H1197" s="88" t="s">
        <v>106</v>
      </c>
      <c r="I1197" s="89" t="s">
        <v>96</v>
      </c>
      <c r="J1197" s="90" t="s">
        <v>94</v>
      </c>
      <c r="K1197" s="179" t="s">
        <v>100</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1</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101</v>
      </c>
      <c r="B1234" s="23" t="s">
        <v>93</v>
      </c>
      <c r="C1234" s="24" t="s">
        <v>228</v>
      </c>
      <c r="D1234" s="25" t="s">
        <v>103</v>
      </c>
      <c r="E1234" s="93"/>
      <c r="K1234" s="184"/>
      <c r="L1234" s="18"/>
    </row>
    <row r="1235" spans="1:12" ht="13.5" customHeight="1">
      <c r="A1235" s="39" cm="1">
        <f t="array" ref="A1235">IFERROR(INDEX('03.Muestra'!$B$8:$B$42,SMALL(IF("Documento no web"='03.Muestra'!$D$8:$D$42,ROW('03.Muestra'!$B$8:$B$42)-MIN(ROW('03.Muestra'!$D$8:$D$42))+1,""),ROW()-1234)),"")</f>
        <v>18</v>
      </c>
      <c r="B1235" s="85" t="str" cm="1">
        <f t="array" ref="B1235">IFERROR(INDEX('03.Muestra'!$C$8:$C$42,SMALL(IF("Documento no web"='03.Muestra'!$D$8:$D$42,ROW('03.Muestra'!$C$8:$C$42)-MIN(ROW('03.Muestra'!$D$8:$D$42))+1,""),ROW()-1234)),"")</f>
        <v>Resolucion</v>
      </c>
      <c r="C1235" s="85" t="str" cm="1">
        <f t="array" ref="C1235">IFERROR(INDEX('03.Muestra'!$F$8:$F$42,SMALL(IF("Documento no web"='03.Muestra'!$D$8:$D$42,ROW('03.Muestra'!$F$8:$F$42)-MIN(ROW('03.Muestra'!$D$8:$D$42))+1,""),ROW()-1234)),"")</f>
        <v>https://www.comunidad.madrid/tacp/busquedaresoluciones</v>
      </c>
      <c r="D1235" s="99" t="s">
        <v>106</v>
      </c>
      <c r="E1235" s="79" t="str">
        <f t="shared" ref="E1235:E1269" si="64">IF(D1235&lt;&gt;"",IF(AND(B1235&lt;&gt;"",C1235&lt;&gt;""),"","ERR"),"")</f>
        <v/>
      </c>
      <c r="F1235" s="86" t="s">
        <v>104</v>
      </c>
      <c r="G1235" s="87" t="s">
        <v>105</v>
      </c>
      <c r="H1235" s="88" t="s">
        <v>106</v>
      </c>
      <c r="I1235" s="89" t="s">
        <v>96</v>
      </c>
      <c r="J1235" s="90" t="s">
        <v>94</v>
      </c>
      <c r="K1235" s="179" t="s">
        <v>100</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1</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101</v>
      </c>
      <c r="B1272" s="23" t="s">
        <v>93</v>
      </c>
      <c r="C1272" s="24" t="s">
        <v>229</v>
      </c>
      <c r="D1272" s="25" t="s">
        <v>103</v>
      </c>
      <c r="E1272" s="93"/>
      <c r="K1272" s="184"/>
      <c r="L1272" s="18"/>
    </row>
    <row r="1273" spans="1:12" ht="13.5" customHeight="1">
      <c r="A1273" s="39" cm="1">
        <f t="array" ref="A1273">IFERROR(INDEX('03.Muestra'!$B$8:$B$42,SMALL(IF("Documento no web"='03.Muestra'!$D$8:$D$42,ROW('03.Muestra'!$B$8:$B$42)-MIN(ROW('03.Muestra'!$D$8:$D$42))+1,""),ROW()-1272)),"")</f>
        <v>18</v>
      </c>
      <c r="B1273" s="85" t="str" cm="1">
        <f t="array" ref="B1273">IFERROR(INDEX('03.Muestra'!$C$8:$C$42,SMALL(IF("Documento no web"='03.Muestra'!$D$8:$D$42,ROW('03.Muestra'!$C$8:$C$42)-MIN(ROW('03.Muestra'!$D$8:$D$42))+1,""),ROW()-1272)),"")</f>
        <v>Resolucion</v>
      </c>
      <c r="C1273" s="85" t="str" cm="1">
        <f t="array" ref="C1273">IFERROR(INDEX('03.Muestra'!$F$8:$F$42,SMALL(IF("Documento no web"='03.Muestra'!$D$8:$D$42,ROW('03.Muestra'!$F$8:$F$42)-MIN(ROW('03.Muestra'!$D$8:$D$42))+1,""),ROW()-1272)),"")</f>
        <v>https://www.comunidad.madrid/tacp/busquedaresoluciones</v>
      </c>
      <c r="D1273" s="99" t="s">
        <v>106</v>
      </c>
      <c r="E1273" s="79" t="str">
        <f t="shared" ref="E1273:E1307" si="66">IF(D1273&lt;&gt;"",IF(AND(B1273&lt;&gt;"",C1273&lt;&gt;""),"","ERR"),"")</f>
        <v/>
      </c>
      <c r="F1273" s="86" t="s">
        <v>104</v>
      </c>
      <c r="G1273" s="87" t="s">
        <v>105</v>
      </c>
      <c r="H1273" s="88" t="s">
        <v>106</v>
      </c>
      <c r="I1273" s="89" t="s">
        <v>96</v>
      </c>
      <c r="J1273" s="90" t="s">
        <v>94</v>
      </c>
      <c r="K1273" s="179" t="s">
        <v>100</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1</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101</v>
      </c>
      <c r="B1310" s="23" t="s">
        <v>93</v>
      </c>
      <c r="C1310" s="24" t="s">
        <v>230</v>
      </c>
      <c r="D1310" s="25" t="s">
        <v>103</v>
      </c>
      <c r="E1310" s="93"/>
      <c r="K1310" s="184"/>
      <c r="L1310" s="18"/>
    </row>
    <row r="1311" spans="1:12" ht="13.5" customHeight="1">
      <c r="A1311" s="39" cm="1">
        <f t="array" ref="A1311">IFERROR(INDEX('03.Muestra'!$B$8:$B$42,SMALL(IF("Documento no web"='03.Muestra'!$D$8:$D$42,ROW('03.Muestra'!$B$8:$B$42)-MIN(ROW('03.Muestra'!$D$8:$D$42))+1,""),ROW()-1310)),"")</f>
        <v>18</v>
      </c>
      <c r="B1311" s="85" t="str" cm="1">
        <f t="array" ref="B1311">IFERROR(INDEX('03.Muestra'!$C$8:$C$42,SMALL(IF("Documento no web"='03.Muestra'!$D$8:$D$42,ROW('03.Muestra'!$C$8:$C$42)-MIN(ROW('03.Muestra'!$D$8:$D$42))+1,""),ROW()-1310)),"")</f>
        <v>Resolucion</v>
      </c>
      <c r="C1311" s="85" t="str" cm="1">
        <f t="array" ref="C1311">IFERROR(INDEX('03.Muestra'!$F$8:$F$42,SMALL(IF("Documento no web"='03.Muestra'!$D$8:$D$42,ROW('03.Muestra'!$F$8:$F$42)-MIN(ROW('03.Muestra'!$D$8:$D$42))+1,""),ROW()-1310)),"")</f>
        <v>https://www.comunidad.madrid/tacp/busquedaresoluciones</v>
      </c>
      <c r="D1311" s="99" t="s">
        <v>94</v>
      </c>
      <c r="E1311" s="79" t="str">
        <f t="shared" ref="E1311:E1345" si="68">IF(D1311&lt;&gt;"",IF(AND(B1311&lt;&gt;"",C1311&lt;&gt;""),"","ERR"),"")</f>
        <v/>
      </c>
      <c r="F1311" s="86" t="s">
        <v>104</v>
      </c>
      <c r="G1311" s="87" t="s">
        <v>105</v>
      </c>
      <c r="H1311" s="88" t="s">
        <v>106</v>
      </c>
      <c r="I1311" s="89" t="s">
        <v>96</v>
      </c>
      <c r="J1311" s="90" t="s">
        <v>94</v>
      </c>
      <c r="K1311" s="179" t="s">
        <v>100</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101</v>
      </c>
      <c r="B1348" s="23" t="s">
        <v>93</v>
      </c>
      <c r="C1348" s="24" t="s">
        <v>231</v>
      </c>
      <c r="D1348" s="25" t="s">
        <v>103</v>
      </c>
      <c r="E1348" s="93"/>
      <c r="K1348" s="184"/>
      <c r="L1348" s="18"/>
    </row>
    <row r="1349" spans="1:12" ht="13.5" customHeight="1">
      <c r="A1349" s="39" cm="1">
        <f t="array" ref="A1349">IFERROR(INDEX('03.Muestra'!$B$8:$B$42,SMALL(IF("Documento no web"='03.Muestra'!$D$8:$D$42,ROW('03.Muestra'!$B$8:$B$42)-MIN(ROW('03.Muestra'!$D$8:$D$42))+1,""),ROW()-1348)),"")</f>
        <v>18</v>
      </c>
      <c r="B1349" s="85" t="str" cm="1">
        <f t="array" ref="B1349">IFERROR(INDEX('03.Muestra'!$C$8:$C$42,SMALL(IF("Documento no web"='03.Muestra'!$D$8:$D$42,ROW('03.Muestra'!$C$8:$C$42)-MIN(ROW('03.Muestra'!$D$8:$D$42))+1,""),ROW()-1348)),"")</f>
        <v>Resolucion</v>
      </c>
      <c r="C1349" s="85" t="str" cm="1">
        <f t="array" ref="C1349">IFERROR(INDEX('03.Muestra'!$F$8:$F$42,SMALL(IF("Documento no web"='03.Muestra'!$D$8:$D$42,ROW('03.Muestra'!$F$8:$F$42)-MIN(ROW('03.Muestra'!$D$8:$D$42))+1,""),ROW()-1348)),"")</f>
        <v>https://www.comunidad.madrid/tacp/busquedaresoluciones</v>
      </c>
      <c r="D1349" s="99" t="s">
        <v>106</v>
      </c>
      <c r="E1349" s="79" t="str">
        <f t="shared" ref="E1349:E1383" si="70">IF(D1349&lt;&gt;"",IF(AND(B1349&lt;&gt;"",C1349&lt;&gt;""),"","ERR"),"")</f>
        <v/>
      </c>
      <c r="F1349" s="86" t="s">
        <v>104</v>
      </c>
      <c r="G1349" s="87" t="s">
        <v>105</v>
      </c>
      <c r="H1349" s="88" t="s">
        <v>106</v>
      </c>
      <c r="I1349" s="89" t="s">
        <v>96</v>
      </c>
      <c r="J1349" s="90" t="s">
        <v>94</v>
      </c>
      <c r="K1349" s="179" t="s">
        <v>100</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1</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101</v>
      </c>
      <c r="B1386" s="23" t="s">
        <v>93</v>
      </c>
      <c r="C1386" s="24" t="s">
        <v>232</v>
      </c>
      <c r="D1386" s="25" t="s">
        <v>103</v>
      </c>
      <c r="E1386" s="93"/>
      <c r="K1386" s="184"/>
      <c r="L1386" s="18"/>
    </row>
    <row r="1387" spans="1:12" ht="13.5" customHeight="1">
      <c r="A1387" s="39" cm="1">
        <f t="array" ref="A1387">IFERROR(INDEX('03.Muestra'!$B$8:$B$42,SMALL(IF("Documento no web"='03.Muestra'!$D$8:$D$42,ROW('03.Muestra'!$B$8:$B$42)-MIN(ROW('03.Muestra'!$D$8:$D$42))+1,""),ROW()-1386)),"")</f>
        <v>18</v>
      </c>
      <c r="B1387" s="85" t="str" cm="1">
        <f t="array" ref="B1387">IFERROR(INDEX('03.Muestra'!$C$8:$C$42,SMALL(IF("Documento no web"='03.Muestra'!$D$8:$D$42,ROW('03.Muestra'!$C$8:$C$42)-MIN(ROW('03.Muestra'!$D$8:$D$42))+1,""),ROW()-1386)),"")</f>
        <v>Resolucion</v>
      </c>
      <c r="C1387" s="85" t="str" cm="1">
        <f t="array" ref="C1387">IFERROR(INDEX('03.Muestra'!$F$8:$F$42,SMALL(IF("Documento no web"='03.Muestra'!$D$8:$D$42,ROW('03.Muestra'!$F$8:$F$42)-MIN(ROW('03.Muestra'!$D$8:$D$42))+1,""),ROW()-1386)),"")</f>
        <v>https://www.comunidad.madrid/tacp/busquedaresoluciones</v>
      </c>
      <c r="D1387" s="99" t="s">
        <v>106</v>
      </c>
      <c r="E1387" s="79" t="str">
        <f t="shared" ref="E1387:E1421" si="72">IF(D1387&lt;&gt;"",IF(AND(B1387&lt;&gt;"",C1387&lt;&gt;""),"","ERR"),"")</f>
        <v/>
      </c>
      <c r="F1387" s="86" t="s">
        <v>104</v>
      </c>
      <c r="G1387" s="87" t="s">
        <v>105</v>
      </c>
      <c r="H1387" s="88" t="s">
        <v>106</v>
      </c>
      <c r="I1387" s="89" t="s">
        <v>96</v>
      </c>
      <c r="J1387" s="90" t="s">
        <v>94</v>
      </c>
      <c r="K1387" s="179" t="s">
        <v>100</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1</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101</v>
      </c>
      <c r="B1424" s="23" t="s">
        <v>93</v>
      </c>
      <c r="C1424" s="24" t="s">
        <v>233</v>
      </c>
      <c r="D1424" s="25" t="s">
        <v>103</v>
      </c>
      <c r="E1424" s="93"/>
      <c r="K1424" s="184"/>
      <c r="L1424" s="18"/>
    </row>
    <row r="1425" spans="1:12" ht="13.5" customHeight="1">
      <c r="A1425" s="39" cm="1">
        <f t="array" ref="A1425">IFERROR(INDEX('03.Muestra'!$B$8:$B$42,SMALL(IF("Documento no web"='03.Muestra'!$D$8:$D$42,ROW('03.Muestra'!$B$8:$B$42)-MIN(ROW('03.Muestra'!$D$8:$D$42))+1,""),ROW()-1424)),"")</f>
        <v>18</v>
      </c>
      <c r="B1425" s="85" t="str" cm="1">
        <f t="array" ref="B1425">IFERROR(INDEX('03.Muestra'!$C$8:$C$42,SMALL(IF("Documento no web"='03.Muestra'!$D$8:$D$42,ROW('03.Muestra'!$C$8:$C$42)-MIN(ROW('03.Muestra'!$D$8:$D$42))+1,""),ROW()-1424)),"")</f>
        <v>Resolucion</v>
      </c>
      <c r="C1425" s="85" t="str" cm="1">
        <f t="array" ref="C1425">IFERROR(INDEX('03.Muestra'!$F$8:$F$42,SMALL(IF("Documento no web"='03.Muestra'!$D$8:$D$42,ROW('03.Muestra'!$F$8:$F$42)-MIN(ROW('03.Muestra'!$D$8:$D$42))+1,""),ROW()-1424)),"")</f>
        <v>https://www.comunidad.madrid/tacp/busquedaresoluciones</v>
      </c>
      <c r="D1425" s="99" t="s">
        <v>106</v>
      </c>
      <c r="E1425" s="79" t="str">
        <f t="shared" ref="E1425:E1459" si="74">IF(D1425&lt;&gt;"",IF(AND(B1425&lt;&gt;"",C1425&lt;&gt;""),"","ERR"),"")</f>
        <v/>
      </c>
      <c r="F1425" s="86" t="s">
        <v>104</v>
      </c>
      <c r="G1425" s="87" t="s">
        <v>105</v>
      </c>
      <c r="H1425" s="88" t="s">
        <v>106</v>
      </c>
      <c r="I1425" s="89" t="s">
        <v>96</v>
      </c>
      <c r="J1425" s="90" t="s">
        <v>94</v>
      </c>
      <c r="K1425" s="179" t="s">
        <v>100</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1</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101</v>
      </c>
      <c r="B1462" s="23" t="s">
        <v>93</v>
      </c>
      <c r="C1462" s="24" t="s">
        <v>234</v>
      </c>
      <c r="D1462" s="25" t="s">
        <v>103</v>
      </c>
      <c r="E1462" s="93"/>
      <c r="K1462" s="184"/>
      <c r="L1462" s="18"/>
    </row>
    <row r="1463" spans="1:12" ht="13.5" customHeight="1">
      <c r="A1463" s="39" cm="1">
        <f t="array" ref="A1463">IFERROR(INDEX('03.Muestra'!$B$8:$B$42,SMALL(IF("Documento no web"='03.Muestra'!$D$8:$D$42,ROW('03.Muestra'!$B$8:$B$42)-MIN(ROW('03.Muestra'!$D$8:$D$42))+1,""),ROW()-1462)),"")</f>
        <v>18</v>
      </c>
      <c r="B1463" s="85" t="str" cm="1">
        <f t="array" ref="B1463">IFERROR(INDEX('03.Muestra'!$C$8:$C$42,SMALL(IF("Documento no web"='03.Muestra'!$D$8:$D$42,ROW('03.Muestra'!$C$8:$C$42)-MIN(ROW('03.Muestra'!$D$8:$D$42))+1,""),ROW()-1462)),"")</f>
        <v>Resolucion</v>
      </c>
      <c r="C1463" s="85" t="str" cm="1">
        <f t="array" ref="C1463">IFERROR(INDEX('03.Muestra'!$F$8:$F$42,SMALL(IF("Documento no web"='03.Muestra'!$D$8:$D$42,ROW('03.Muestra'!$F$8:$F$42)-MIN(ROW('03.Muestra'!$D$8:$D$42))+1,""),ROW()-1462)),"")</f>
        <v>https://www.comunidad.madrid/tacp/busquedaresoluciones</v>
      </c>
      <c r="D1463" s="99" t="s">
        <v>106</v>
      </c>
      <c r="E1463" s="79" t="str">
        <f t="shared" ref="E1463:E1497" si="76">IF(D1463&lt;&gt;"",IF(AND(B1463&lt;&gt;"",C1463&lt;&gt;""),"","ERR"),"")</f>
        <v/>
      </c>
      <c r="F1463" s="86" t="s">
        <v>104</v>
      </c>
      <c r="G1463" s="87" t="s">
        <v>105</v>
      </c>
      <c r="H1463" s="88" t="s">
        <v>106</v>
      </c>
      <c r="I1463" s="89" t="s">
        <v>96</v>
      </c>
      <c r="J1463" s="90" t="s">
        <v>94</v>
      </c>
      <c r="K1463" s="179" t="s">
        <v>100</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1</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101</v>
      </c>
      <c r="B1500" s="23" t="s">
        <v>93</v>
      </c>
      <c r="C1500" s="24" t="s">
        <v>235</v>
      </c>
      <c r="D1500" s="25" t="s">
        <v>103</v>
      </c>
      <c r="E1500" s="93"/>
      <c r="K1500" s="184"/>
      <c r="L1500" s="18"/>
    </row>
    <row r="1501" spans="1:12" ht="13.5" customHeight="1">
      <c r="A1501" s="39" cm="1">
        <f t="array" ref="A1501">IFERROR(INDEX('03.Muestra'!$B$8:$B$42,SMALL(IF("Documento no web"='03.Muestra'!$D$8:$D$42,ROW('03.Muestra'!$B$8:$B$42)-MIN(ROW('03.Muestra'!$D$8:$D$42))+1,""),ROW()-1500)),"")</f>
        <v>18</v>
      </c>
      <c r="B1501" s="85" t="str" cm="1">
        <f t="array" ref="B1501">IFERROR(INDEX('03.Muestra'!$C$8:$C$42,SMALL(IF("Documento no web"='03.Muestra'!$D$8:$D$42,ROW('03.Muestra'!$C$8:$C$42)-MIN(ROW('03.Muestra'!$D$8:$D$42))+1,""),ROW()-1500)),"")</f>
        <v>Resolucion</v>
      </c>
      <c r="C1501" s="85" t="str" cm="1">
        <f t="array" ref="C1501">IFERROR(INDEX('03.Muestra'!$F$8:$F$42,SMALL(IF("Documento no web"='03.Muestra'!$D$8:$D$42,ROW('03.Muestra'!$F$8:$F$42)-MIN(ROW('03.Muestra'!$D$8:$D$42))+1,""),ROW()-1500)),"")</f>
        <v>https://www.comunidad.madrid/tacp/busquedaresoluciones</v>
      </c>
      <c r="D1501" s="99" t="s">
        <v>106</v>
      </c>
      <c r="E1501" s="79" t="str">
        <f t="shared" ref="E1501:E1535" si="78">IF(D1501&lt;&gt;"",IF(AND(B1501&lt;&gt;"",C1501&lt;&gt;""),"","ERR"),"")</f>
        <v/>
      </c>
      <c r="F1501" s="86" t="s">
        <v>104</v>
      </c>
      <c r="G1501" s="87" t="s">
        <v>105</v>
      </c>
      <c r="H1501" s="88" t="s">
        <v>106</v>
      </c>
      <c r="I1501" s="89" t="s">
        <v>96</v>
      </c>
      <c r="J1501" s="90" t="s">
        <v>94</v>
      </c>
      <c r="K1501" s="179" t="s">
        <v>100</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1</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101</v>
      </c>
      <c r="B1538" s="23" t="s">
        <v>93</v>
      </c>
      <c r="C1538" s="24" t="s">
        <v>236</v>
      </c>
      <c r="D1538" s="25" t="s">
        <v>103</v>
      </c>
      <c r="E1538" s="93"/>
      <c r="K1538" s="184"/>
      <c r="L1538" s="18"/>
    </row>
    <row r="1539" spans="1:12" ht="13.5" customHeight="1">
      <c r="A1539" s="39" cm="1">
        <f t="array" ref="A1539">IFERROR(INDEX('03.Muestra'!$B$8:$B$42,SMALL(IF("Documento no web"='03.Muestra'!$D$8:$D$42,ROW('03.Muestra'!$B$8:$B$42)-MIN(ROW('03.Muestra'!$D$8:$D$42))+1,""),ROW()-1538)),"")</f>
        <v>18</v>
      </c>
      <c r="B1539" s="85" t="str" cm="1">
        <f t="array" ref="B1539">IFERROR(INDEX('03.Muestra'!$C$8:$C$42,SMALL(IF("Documento no web"='03.Muestra'!$D$8:$D$42,ROW('03.Muestra'!$C$8:$C$42)-MIN(ROW('03.Muestra'!$D$8:$D$42))+1,""),ROW()-1538)),"")</f>
        <v>Resolucion</v>
      </c>
      <c r="C1539" s="85" t="str" cm="1">
        <f t="array" ref="C1539">IFERROR(INDEX('03.Muestra'!$F$8:$F$42,SMALL(IF("Documento no web"='03.Muestra'!$D$8:$D$42,ROW('03.Muestra'!$F$8:$F$42)-MIN(ROW('03.Muestra'!$D$8:$D$42))+1,""),ROW()-1538)),"")</f>
        <v>https://www.comunidad.madrid/tacp/busquedaresoluciones</v>
      </c>
      <c r="D1539" s="99" t="s">
        <v>106</v>
      </c>
      <c r="E1539" s="79" t="str">
        <f t="shared" ref="E1539:E1573" si="80">IF(D1539&lt;&gt;"",IF(AND(B1539&lt;&gt;"",C1539&lt;&gt;""),"","ERR"),"")</f>
        <v/>
      </c>
      <c r="F1539" s="86" t="s">
        <v>104</v>
      </c>
      <c r="G1539" s="87" t="s">
        <v>105</v>
      </c>
      <c r="H1539" s="88" t="s">
        <v>106</v>
      </c>
      <c r="I1539" s="89" t="s">
        <v>96</v>
      </c>
      <c r="J1539" s="90" t="s">
        <v>94</v>
      </c>
      <c r="K1539" s="179" t="s">
        <v>100</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1</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101</v>
      </c>
      <c r="B1576" s="23" t="s">
        <v>93</v>
      </c>
      <c r="C1576" s="24" t="s">
        <v>237</v>
      </c>
      <c r="D1576" s="25" t="s">
        <v>103</v>
      </c>
      <c r="E1576" s="93"/>
      <c r="K1576" s="184"/>
      <c r="L1576" s="18"/>
    </row>
    <row r="1577" spans="1:12" ht="13.5" customHeight="1">
      <c r="A1577" s="39" cm="1">
        <f t="array" ref="A1577">IFERROR(INDEX('03.Muestra'!$B$8:$B$42,SMALL(IF("Documento no web"='03.Muestra'!$D$8:$D$42,ROW('03.Muestra'!$B$8:$B$42)-MIN(ROW('03.Muestra'!$D$8:$D$42))+1,""),ROW()-1576)),"")</f>
        <v>18</v>
      </c>
      <c r="B1577" s="85" t="str" cm="1">
        <f t="array" ref="B1577">IFERROR(INDEX('03.Muestra'!$C$8:$C$42,SMALL(IF("Documento no web"='03.Muestra'!$D$8:$D$42,ROW('03.Muestra'!$C$8:$C$42)-MIN(ROW('03.Muestra'!$D$8:$D$42))+1,""),ROW()-1576)),"")</f>
        <v>Resolucion</v>
      </c>
      <c r="C1577" s="85" t="str" cm="1">
        <f t="array" ref="C1577">IFERROR(INDEX('03.Muestra'!$F$8:$F$42,SMALL(IF("Documento no web"='03.Muestra'!$D$8:$D$42,ROW('03.Muestra'!$F$8:$F$42)-MIN(ROW('03.Muestra'!$D$8:$D$42))+1,""),ROW()-1576)),"")</f>
        <v>https://www.comunidad.madrid/tacp/busquedaresoluciones</v>
      </c>
      <c r="D1577" s="99" t="s">
        <v>106</v>
      </c>
      <c r="E1577" s="79" t="str">
        <f t="shared" ref="E1577:E1611" si="82">IF(D1577&lt;&gt;"",IF(AND(B1577&lt;&gt;"",C1577&lt;&gt;""),"","ERR"),"")</f>
        <v/>
      </c>
      <c r="F1577" s="86" t="s">
        <v>104</v>
      </c>
      <c r="G1577" s="87" t="s">
        <v>105</v>
      </c>
      <c r="H1577" s="88" t="s">
        <v>106</v>
      </c>
      <c r="I1577" s="89" t="s">
        <v>96</v>
      </c>
      <c r="J1577" s="90" t="s">
        <v>94</v>
      </c>
      <c r="K1577" s="179" t="s">
        <v>100</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1</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101</v>
      </c>
      <c r="B1614" s="23" t="s">
        <v>93</v>
      </c>
      <c r="C1614" s="24" t="s">
        <v>238</v>
      </c>
      <c r="D1614" s="25" t="s">
        <v>103</v>
      </c>
      <c r="E1614" s="93"/>
      <c r="K1614" s="184"/>
      <c r="L1614" s="18"/>
    </row>
    <row r="1615" spans="1:12" ht="14.4">
      <c r="A1615" s="39" cm="1">
        <f t="array" ref="A1615">IFERROR(INDEX('03.Muestra'!$B$8:$B$42,SMALL(IF("Documento no web"='03.Muestra'!$D$8:$D$42,ROW('03.Muestra'!$B$8:$B$42)-MIN(ROW('03.Muestra'!$D$8:$D$42))+1,""),ROW()-1614)),"")</f>
        <v>18</v>
      </c>
      <c r="B1615" s="85" t="str" cm="1">
        <f t="array" ref="B1615">IFERROR(INDEX('03.Muestra'!$C$8:$C$42,SMALL(IF("Documento no web"='03.Muestra'!$D$8:$D$42,ROW('03.Muestra'!$C$8:$C$42)-MIN(ROW('03.Muestra'!$D$8:$D$42))+1,""),ROW()-1614)),"")</f>
        <v>Resolucion</v>
      </c>
      <c r="C1615" s="85" t="str" cm="1">
        <f t="array" ref="C1615">IFERROR(INDEX('03.Muestra'!$F$8:$F$42,SMALL(IF("Documento no web"='03.Muestra'!$D$8:$D$42,ROW('03.Muestra'!$F$8:$F$42)-MIN(ROW('03.Muestra'!$D$8:$D$42))+1,""),ROW()-1614)),"")</f>
        <v>https://www.comunidad.madrid/tacp/busquedaresoluciones</v>
      </c>
      <c r="D1615" s="260" t="s">
        <v>106</v>
      </c>
      <c r="E1615" s="79" t="str">
        <f t="shared" ref="E1615:E1649" si="84">IF(D1615&lt;&gt;"",IF(AND(B1615&lt;&gt;"",C1615&lt;&gt;""),"","ERR"),"")</f>
        <v/>
      </c>
      <c r="F1615" s="86" t="s">
        <v>104</v>
      </c>
      <c r="G1615" s="87" t="s">
        <v>105</v>
      </c>
      <c r="H1615" s="88" t="s">
        <v>106</v>
      </c>
      <c r="I1615" s="89" t="s">
        <v>96</v>
      </c>
      <c r="J1615" s="90" t="s">
        <v>94</v>
      </c>
      <c r="K1615" s="179" t="s">
        <v>100</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1</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101</v>
      </c>
      <c r="B1652" s="23" t="s">
        <v>93</v>
      </c>
      <c r="C1652" s="24" t="s">
        <v>239</v>
      </c>
      <c r="D1652" s="25" t="s">
        <v>103</v>
      </c>
      <c r="E1652" s="93"/>
      <c r="K1652" s="184"/>
    </row>
    <row r="1653" spans="1:11" ht="14.4">
      <c r="A1653" s="39" cm="1">
        <f t="array" ref="A1653">IFERROR(INDEX('03.Muestra'!$B$8:$B$42,SMALL(IF("Documento no web"='03.Muestra'!$D$8:$D$42,ROW('03.Muestra'!$B$8:$B$42)-MIN(ROW('03.Muestra'!$D$8:$D$42))+1,""),ROW()-1652)),"")</f>
        <v>18</v>
      </c>
      <c r="B1653" s="85" t="str" cm="1">
        <f t="array" ref="B1653">IFERROR(INDEX('03.Muestra'!$C$8:$C$42,SMALL(IF("Documento no web"='03.Muestra'!$D$8:$D$42,ROW('03.Muestra'!$C$8:$C$42)-MIN(ROW('03.Muestra'!$D$8:$D$42))+1,""),ROW()-1652)),"")</f>
        <v>Resolucion</v>
      </c>
      <c r="C1653" s="85" t="str" cm="1">
        <f t="array" ref="C1653">IFERROR(INDEX('03.Muestra'!$F$8:$F$42,SMALL(IF("Documento no web"='03.Muestra'!$D$8:$D$42,ROW('03.Muestra'!$F$8:$F$42)-MIN(ROW('03.Muestra'!$D$8:$D$42))+1,""),ROW()-1652)),"")</f>
        <v>https://www.comunidad.madrid/tacp/busquedaresoluciones</v>
      </c>
      <c r="D1653" s="99" t="s">
        <v>106</v>
      </c>
      <c r="E1653" s="79" t="str">
        <f t="shared" ref="E1653:E1687" si="86">IF(D1653&lt;&gt;"",IF(AND(B1653&lt;&gt;"",C1653&lt;&gt;""),"","ERR"),"")</f>
        <v/>
      </c>
      <c r="F1653" s="86" t="s">
        <v>104</v>
      </c>
      <c r="G1653" s="87" t="s">
        <v>105</v>
      </c>
      <c r="H1653" s="88" t="s">
        <v>106</v>
      </c>
      <c r="I1653" s="89" t="s">
        <v>96</v>
      </c>
      <c r="J1653" s="90" t="s">
        <v>94</v>
      </c>
      <c r="K1653" s="179" t="s">
        <v>100</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1</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101</v>
      </c>
      <c r="B1690" s="23" t="s">
        <v>93</v>
      </c>
      <c r="C1690" s="24" t="s">
        <v>240</v>
      </c>
      <c r="D1690" s="25" t="s">
        <v>103</v>
      </c>
      <c r="E1690" s="93"/>
      <c r="K1690" s="184"/>
    </row>
    <row r="1691" spans="1:11" ht="14.4">
      <c r="A1691" s="39" cm="1">
        <f t="array" ref="A1691">IFERROR(INDEX('03.Muestra'!$B$8:$B$42,SMALL(IF("Documento no web"='03.Muestra'!$D$8:$D$42,ROW('03.Muestra'!$B$8:$B$42)-MIN(ROW('03.Muestra'!$D$8:$D$42))+1,""),ROW()-1690)),"")</f>
        <v>18</v>
      </c>
      <c r="B1691" s="85" t="str" cm="1">
        <f t="array" ref="B1691">IFERROR(INDEX('03.Muestra'!$C$8:$C$42,SMALL(IF("Documento no web"='03.Muestra'!$D$8:$D$42,ROW('03.Muestra'!$C$8:$C$42)-MIN(ROW('03.Muestra'!$D$8:$D$42))+1,""),ROW()-1690)),"")</f>
        <v>Resolucion</v>
      </c>
      <c r="C1691" s="85" t="str" cm="1">
        <f t="array" ref="C1691">IFERROR(INDEX('03.Muestra'!$F$8:$F$42,SMALL(IF("Documento no web"='03.Muestra'!$D$8:$D$42,ROW('03.Muestra'!$F$8:$F$42)-MIN(ROW('03.Muestra'!$D$8:$D$42))+1,""),ROW()-1690)),"")</f>
        <v>https://www.comunidad.madrid/tacp/busquedaresoluciones</v>
      </c>
      <c r="D1691" s="99" t="s">
        <v>106</v>
      </c>
      <c r="E1691" s="79" t="str">
        <f t="shared" ref="E1691:E1725" si="88">IF(D1691&lt;&gt;"",IF(AND(B1691&lt;&gt;"",C1691&lt;&gt;""),"","ERR"),"")</f>
        <v/>
      </c>
      <c r="F1691" s="86" t="s">
        <v>104</v>
      </c>
      <c r="G1691" s="87" t="s">
        <v>105</v>
      </c>
      <c r="H1691" s="88" t="s">
        <v>106</v>
      </c>
      <c r="I1691" s="89" t="s">
        <v>96</v>
      </c>
      <c r="J1691" s="90" t="s">
        <v>94</v>
      </c>
      <c r="K1691" s="179" t="s">
        <v>100</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1</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Oscar Hernangomez Garcia</cp:lastModifiedBy>
  <cp:revision>109</cp:revision>
  <dcterms:created xsi:type="dcterms:W3CDTF">2020-03-26T13:14:48Z</dcterms:created>
  <dcterms:modified xsi:type="dcterms:W3CDTF">2023-09-26T06:06:52Z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ies>
</file>