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atos365-my.sharepoint.com/personal/oscar_hernangomezgarcia_atos_net/Documents/Documentos_13062022/Madrid Digital/PJUS_SEDE/"/>
    </mc:Choice>
  </mc:AlternateContent>
  <xr:revisionPtr revIDLastSave="240" documentId="13_ncr:1_{A1AB7113-7B47-4908-A59F-BE5428BF1614}" xr6:coauthVersionLast="47" xr6:coauthVersionMax="47" xr10:uidLastSave="{77793151-A0EA-4F68-BCD5-30F7665D86A0}"/>
  <bookViews>
    <workbookView xWindow="-108" yWindow="-108" windowWidth="23256" windowHeight="12576" tabRatio="808" firstSheet="2" activeTab="7"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1" i="18" l="1"/>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D1887" i="22"/>
  <c r="E1887" i="22" s="1"/>
  <c r="E1885" i="22"/>
  <c r="E1884" i="22"/>
  <c r="E1883" i="22"/>
  <c r="E1882" i="22"/>
  <c r="D1888" i="22" l="1"/>
  <c r="E1888" i="22" s="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253" i="22" l="1"/>
  <c r="D1165" i="21"/>
  <c r="D291" i="14"/>
  <c r="CG20" i="9"/>
  <c r="DC3" i="19" s="1"/>
  <c r="D238" i="5"/>
  <c r="D157" i="14"/>
  <c r="D304" i="15"/>
  <c r="D224" i="5"/>
  <c r="D228" i="5"/>
  <c r="D139" i="21"/>
  <c r="D34" i="13"/>
  <c r="D198" i="18"/>
  <c r="D108" i="13"/>
  <c r="D308" i="15"/>
  <c r="D1249" i="22"/>
  <c r="D51" i="13"/>
  <c r="D66" i="13"/>
  <c r="D70" i="13"/>
  <c r="D82" i="13"/>
  <c r="D90" i="13"/>
  <c r="D101" i="13"/>
  <c r="D668" i="21"/>
  <c r="D672" i="21"/>
  <c r="D723" i="21"/>
  <c r="D424" i="22"/>
  <c r="D1336" i="22"/>
  <c r="D1332" i="22"/>
  <c r="D1873" i="22"/>
  <c r="D82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CG26" i="9" a="1"/>
  <c r="CG26" i="9" s="1"/>
  <c r="DC9"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5" i="5"/>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177" i="14"/>
  <c r="D543" i="14"/>
  <c r="D50" i="15"/>
  <c r="D69" i="15"/>
  <c r="D146" i="15"/>
  <c r="D150" i="15"/>
  <c r="D162" i="15"/>
  <c r="D185" i="15"/>
  <c r="D35" i="13"/>
  <c r="D75" i="13"/>
  <c r="D678" i="14"/>
  <c r="D674" i="14"/>
  <c r="D30" i="15"/>
  <c r="D381" i="22"/>
  <c r="D767" i="22"/>
  <c r="D74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393" i="22"/>
  <c r="D1450" i="22"/>
  <c r="D1445" i="22"/>
  <c r="D28" i="21"/>
  <c r="D32" i="21"/>
  <c r="D585" i="21"/>
  <c r="D606" i="21"/>
  <c r="D618" i="21"/>
  <c r="D623" i="21"/>
  <c r="D722" i="21"/>
  <c r="D798" i="21"/>
  <c r="D918" i="21"/>
  <c r="D980" i="21"/>
  <c r="D1002" i="21"/>
  <c r="D1192" i="21"/>
  <c r="D1597" i="21"/>
  <c r="D1698" i="21"/>
  <c r="D196" i="5"/>
  <c r="D78" i="18"/>
  <c r="D83" i="18"/>
  <c r="D102"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9" i="15"/>
  <c r="D52" i="15"/>
  <c r="D68" i="15"/>
  <c r="D113" i="15"/>
  <c r="D114" i="15"/>
  <c r="D203" i="15"/>
  <c r="D204" i="15"/>
  <c r="D205" i="15"/>
  <c r="D231" i="15"/>
  <c r="D104" i="13"/>
  <c r="D151" i="14"/>
  <c r="D143" i="14"/>
  <c r="D234" i="14"/>
  <c r="D490" i="14"/>
  <c r="D679" i="14"/>
  <c r="D44" i="15"/>
  <c r="D26" i="13"/>
  <c r="D46" i="13"/>
  <c r="D74" i="13"/>
  <c r="D165" i="14"/>
  <c r="D243" i="14"/>
  <c r="D239" i="14"/>
  <c r="D235" i="14"/>
  <c r="D501" i="14"/>
  <c r="D497" i="14"/>
  <c r="D527" i="14"/>
  <c r="D519" i="14"/>
  <c r="D686" i="14"/>
  <c r="D180" i="15"/>
  <c r="D200" i="15"/>
  <c r="D1643" i="22"/>
  <c r="D1759" i="22"/>
  <c r="D1791" i="22"/>
  <c r="D52" i="21"/>
  <c r="D67" i="21"/>
  <c r="D75" i="21"/>
  <c r="D149" i="21"/>
  <c r="D174" i="21"/>
  <c r="D218" i="21"/>
  <c r="D276" i="21"/>
  <c r="D314" i="21"/>
  <c r="D340" i="21"/>
  <c r="D386" i="21"/>
  <c r="D405" i="21"/>
  <c r="D499" i="21"/>
  <c r="D503" i="21"/>
  <c r="D514" i="21"/>
  <c r="D253" i="22"/>
  <c r="D378" i="22"/>
  <c r="D374" i="22"/>
  <c r="D470" i="22"/>
  <c r="D458" i="22"/>
  <c r="D450" i="22"/>
  <c r="D564" i="22"/>
  <c r="D732" i="22"/>
  <c r="D1587" i="21"/>
  <c r="D256" i="15"/>
  <c r="D279" i="15"/>
  <c r="D82" i="22"/>
  <c r="D389" i="22"/>
  <c r="D432" i="22"/>
  <c r="D416" i="22"/>
  <c r="D565" i="22"/>
  <c r="D648" i="22"/>
  <c r="D717" i="22"/>
  <c r="D709" i="22"/>
  <c r="D813" i="22"/>
  <c r="D959" i="22"/>
  <c r="D999" i="22"/>
  <c r="D982" i="22"/>
  <c r="D1032" i="22"/>
  <c r="D1269" i="22"/>
  <c r="D1265" i="22"/>
  <c r="D1287" i="22"/>
  <c r="D1279" i="22"/>
  <c r="D1492" i="22"/>
  <c r="D1632" i="22"/>
  <c r="D1628" i="22"/>
  <c r="D1683" i="22"/>
  <c r="D1675" i="22"/>
  <c r="D1773"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139"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63" i="5"/>
  <c r="D85" i="5"/>
  <c r="D120" i="5"/>
  <c r="D180" i="5"/>
  <c r="D292" i="14"/>
  <c r="D456" i="14"/>
  <c r="D71" i="15"/>
  <c r="D109" i="22"/>
  <c r="D101" i="22"/>
  <c r="D83" i="13"/>
  <c r="D91" i="13"/>
  <c r="D102" i="13"/>
  <c r="D110" i="13"/>
  <c r="D121" i="13"/>
  <c r="D125" i="13"/>
  <c r="D167" i="14"/>
  <c r="D149" i="14"/>
  <c r="D231" i="14"/>
  <c r="D329" i="14"/>
  <c r="D383" i="14"/>
  <c r="D379" i="14"/>
  <c r="D367" i="14"/>
  <c r="D509" i="14"/>
  <c r="D498" i="14"/>
  <c r="D493" i="14"/>
  <c r="D568" i="14"/>
  <c r="D563" i="14"/>
  <c r="D633" i="14"/>
  <c r="D687" i="14"/>
  <c r="D682" i="14"/>
  <c r="D680" i="14"/>
  <c r="D196" i="15"/>
  <c r="D348" i="15"/>
  <c r="D352" i="15"/>
  <c r="D46" i="22"/>
  <c r="D40" i="22"/>
  <c r="D32" i="22"/>
  <c r="D90" i="22"/>
  <c r="D367" i="22"/>
  <c r="D467" i="22"/>
  <c r="D443"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15" i="15"/>
  <c r="D230" i="15"/>
  <c r="D241" i="15"/>
  <c r="D242" i="15"/>
  <c r="D243" i="15"/>
  <c r="D266" i="15"/>
  <c r="D268" i="15"/>
  <c r="D271" i="15"/>
  <c r="D297" i="15"/>
  <c r="D301" i="15"/>
  <c r="D329" i="15"/>
  <c r="D350" i="15"/>
  <c r="D91" i="22"/>
  <c r="D83" i="22"/>
  <c r="D121" i="22"/>
  <c r="D155" i="22"/>
  <c r="D147" i="22"/>
  <c r="D139" i="22"/>
  <c r="D239" i="22"/>
  <c r="D231" i="22"/>
  <c r="D223" i="22"/>
  <c r="D393" i="22"/>
  <c r="D385" i="22"/>
  <c r="D377" i="22"/>
  <c r="D428" i="22"/>
  <c r="D420" i="22"/>
  <c r="D412" i="22"/>
  <c r="D456" i="22"/>
  <c r="D733" i="22"/>
  <c r="D725" i="22"/>
  <c r="D44" i="13"/>
  <c r="D52" i="13"/>
  <c r="D63" i="13"/>
  <c r="D71" i="13"/>
  <c r="D79" i="13"/>
  <c r="D87" i="13"/>
  <c r="D106" i="13"/>
  <c r="D114" i="13"/>
  <c r="D124" i="13"/>
  <c r="D127" i="13"/>
  <c r="D128" i="13"/>
  <c r="D129" i="13"/>
  <c r="D73" i="15"/>
  <c r="D88" i="15"/>
  <c r="D104" i="15"/>
  <c r="D115" i="15"/>
  <c r="D120" i="15"/>
  <c r="D139" i="15"/>
  <c r="D166" i="15"/>
  <c r="D193" i="15"/>
  <c r="D225" i="15"/>
  <c r="D226" i="15"/>
  <c r="D227" i="15"/>
  <c r="D228" i="15"/>
  <c r="D229" i="15"/>
  <c r="D240" i="15"/>
  <c r="D259" i="15"/>
  <c r="D264" i="15"/>
  <c r="D292" i="15"/>
  <c r="D295" i="15"/>
  <c r="D314" i="15"/>
  <c r="D345" i="15"/>
  <c r="D349" i="15"/>
  <c r="D355" i="15"/>
  <c r="D471" i="22"/>
  <c r="D489" i="22"/>
  <c r="D481" i="22"/>
  <c r="D585" i="22"/>
  <c r="D581" i="22"/>
  <c r="D577" i="22"/>
  <c r="D573" i="22"/>
  <c r="D569" i="22"/>
  <c r="D656" i="22"/>
  <c r="D655" i="22"/>
  <c r="D647" i="22"/>
  <c r="D710" i="22"/>
  <c r="D885" i="22"/>
  <c r="D876" i="22"/>
  <c r="D923" i="22"/>
  <c r="D919" i="22"/>
  <c r="D906" i="22"/>
  <c r="D947" i="22"/>
  <c r="D937" i="22"/>
  <c r="D994" i="22"/>
  <c r="D1142" i="22"/>
  <c r="D1188" i="22"/>
  <c r="D1307" i="22"/>
  <c r="D1286" i="22"/>
  <c r="D1323" i="22"/>
  <c r="D1469"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545"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73" i="5"/>
  <c r="D79" i="5"/>
  <c r="D80" i="5"/>
  <c r="D88" i="5"/>
  <c r="D140" i="5"/>
  <c r="D154" i="5"/>
  <c r="D158" i="5"/>
  <c r="D165" i="5"/>
  <c r="D183" i="5"/>
  <c r="D184" i="5"/>
  <c r="D191" i="5"/>
  <c r="D192" i="5"/>
  <c r="D198" i="5"/>
  <c r="D202" i="5"/>
  <c r="D40" i="18"/>
  <c r="D51" i="18"/>
  <c r="D75" i="18"/>
  <c r="D86" i="18"/>
  <c r="D89" i="18"/>
  <c r="D107" i="18"/>
  <c r="D110" i="18"/>
  <c r="D120" i="18"/>
  <c r="D139" i="18"/>
  <c r="D143" i="18"/>
  <c r="D147" i="18"/>
  <c r="D151" i="18"/>
  <c r="D155" i="18"/>
  <c r="D159" i="18"/>
  <c r="D163" i="18"/>
  <c r="D167"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16" i="5"/>
  <c r="D220" i="5"/>
  <c r="D226" i="5"/>
  <c r="D234" i="5"/>
  <c r="D242" i="5"/>
  <c r="D64" i="18"/>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5" i="22"/>
  <c r="D27" i="13"/>
  <c r="D36" i="13"/>
  <c r="D37" i="13"/>
  <c r="D38" i="13"/>
  <c r="D39" i="13"/>
  <c r="D40" i="13"/>
  <c r="D115" i="13"/>
  <c r="D116" i="13"/>
  <c r="D119" i="13"/>
  <c r="D120" i="13"/>
  <c r="D122" i="13"/>
  <c r="D49" i="14"/>
  <c r="D41" i="14"/>
  <c r="D33" i="14"/>
  <c r="D124" i="14"/>
  <c r="D116" i="14"/>
  <c r="D108" i="14"/>
  <c r="D102"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4"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0" i="15"/>
  <c r="D141" i="15"/>
  <c r="D142" i="15"/>
  <c r="D153" i="15"/>
  <c r="D156" i="15"/>
  <c r="D157" i="15"/>
  <c r="D158" i="15"/>
  <c r="E172" i="15"/>
  <c r="D179" i="15"/>
  <c r="D188" i="15"/>
  <c r="D192" i="15"/>
  <c r="D198" i="15"/>
  <c r="D201" i="15"/>
  <c r="D202" i="15"/>
  <c r="D223" i="15"/>
  <c r="D239" i="15"/>
  <c r="D254" i="15"/>
  <c r="D255" i="15"/>
  <c r="D257" i="15"/>
  <c r="D258" i="15"/>
  <c r="D260" i="15"/>
  <c r="D270" i="15"/>
  <c r="D277" i="15"/>
  <c r="D278" i="15"/>
  <c r="D293" i="15"/>
  <c r="D299" i="15"/>
  <c r="D300" i="15"/>
  <c r="D305" i="15"/>
  <c r="D311" i="15"/>
  <c r="D312" i="15"/>
  <c r="D313" i="15"/>
  <c r="D319" i="15"/>
  <c r="D334" i="15"/>
  <c r="D335" i="15"/>
  <c r="D343" i="15"/>
  <c r="D344" i="15"/>
  <c r="D25" i="13"/>
  <c r="D31" i="13"/>
  <c r="D32" i="13"/>
  <c r="D65" i="13"/>
  <c r="D69" i="13"/>
  <c r="D73" i="13"/>
  <c r="D77" i="13"/>
  <c r="D81" i="13"/>
  <c r="D85" i="13"/>
  <c r="D89" i="13"/>
  <c r="D117" i="13"/>
  <c r="D53" i="14"/>
  <c r="D45" i="14"/>
  <c r="D37" i="14"/>
  <c r="D128" i="14"/>
  <c r="D120" i="14"/>
  <c r="D112" i="14"/>
  <c r="D161" i="14"/>
  <c r="D155" i="14"/>
  <c r="D145" i="14"/>
  <c r="D139"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6" i="15"/>
  <c r="D27" i="15"/>
  <c r="D33" i="15"/>
  <c r="D34" i="15"/>
  <c r="D36" i="15"/>
  <c r="D39" i="15"/>
  <c r="D40" i="15"/>
  <c r="D41" i="15"/>
  <c r="D45" i="15"/>
  <c r="D46" i="15"/>
  <c r="D63" i="15"/>
  <c r="D64" i="15"/>
  <c r="D74" i="15"/>
  <c r="D75" i="15"/>
  <c r="D76" i="15"/>
  <c r="D77" i="15"/>
  <c r="D79" i="15"/>
  <c r="D80" i="15"/>
  <c r="D81" i="15"/>
  <c r="D84" i="15"/>
  <c r="D85" i="15"/>
  <c r="D86" i="15"/>
  <c r="D101" i="15"/>
  <c r="D102" i="15"/>
  <c r="D112" i="15"/>
  <c r="D116" i="15"/>
  <c r="D117" i="15"/>
  <c r="D118" i="15"/>
  <c r="D128" i="15"/>
  <c r="D151" i="15"/>
  <c r="D177" i="15"/>
  <c r="D178" i="15"/>
  <c r="D181" i="15"/>
  <c r="D182" i="15"/>
  <c r="D183" i="15"/>
  <c r="D195" i="15"/>
  <c r="D217" i="15"/>
  <c r="D218" i="15"/>
  <c r="D219" i="15"/>
  <c r="D220" i="15"/>
  <c r="D221" i="15"/>
  <c r="D233" i="15"/>
  <c r="D234" i="15"/>
  <c r="D235" i="15"/>
  <c r="D236" i="15"/>
  <c r="D237" i="15"/>
  <c r="D275" i="15"/>
  <c r="D291"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20" i="22"/>
  <c r="D559" i="22"/>
  <c r="D34" i="22"/>
  <c r="D26" i="22"/>
  <c r="D88" i="22"/>
  <c r="D80" i="22"/>
  <c r="D126" i="22"/>
  <c r="D254" i="22"/>
  <c r="D316" i="22"/>
  <c r="D308" i="22"/>
  <c r="D300" i="22"/>
  <c r="D292" i="22"/>
  <c r="D368" i="22"/>
  <c r="D460" i="22"/>
  <c r="D452" i="22"/>
  <c r="D633" i="22"/>
  <c r="D726" i="22"/>
  <c r="D765" i="22"/>
  <c r="D757" i="22"/>
  <c r="D884" i="22"/>
  <c r="D868" i="22"/>
  <c r="D925" i="22"/>
  <c r="D53" i="22"/>
  <c r="D45" i="22"/>
  <c r="D71" i="22"/>
  <c r="D120" i="22"/>
  <c r="D107" i="22"/>
  <c r="D199" i="22"/>
  <c r="D191" i="22"/>
  <c r="D241" i="22"/>
  <c r="D233" i="22"/>
  <c r="D225" i="22"/>
  <c r="D217" i="22"/>
  <c r="D353" i="22"/>
  <c r="D345" i="22"/>
  <c r="D337" i="22"/>
  <c r="D329" i="22"/>
  <c r="D465" i="22"/>
  <c r="D455" i="22"/>
  <c r="D491" i="22"/>
  <c r="D483" i="22"/>
  <c r="D562" i="22"/>
  <c r="D621" i="22"/>
  <c r="D613" i="22"/>
  <c r="D605" i="22"/>
  <c r="D768" i="22"/>
  <c r="D795" i="22"/>
  <c r="D787" i="22"/>
  <c r="D1284" i="22"/>
  <c r="D1339" i="22"/>
  <c r="D1483" i="22"/>
  <c r="D1566" i="22"/>
  <c r="D1558" i="22"/>
  <c r="D1547" i="22"/>
  <c r="D1687" i="22"/>
  <c r="D1672" i="22"/>
  <c r="D1758" i="22"/>
  <c r="D1735"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861" i="22"/>
  <c r="D926" i="22"/>
  <c r="D921" i="22"/>
  <c r="D915" i="22"/>
  <c r="D910" i="22"/>
  <c r="D899"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394" i="22"/>
  <c r="D1570" i="22"/>
  <c r="D1562" i="22"/>
  <c r="D1552" i="22"/>
  <c r="D1647" i="22"/>
  <c r="D1639" i="22"/>
  <c r="D1631" i="22"/>
  <c r="D1682" i="22"/>
  <c r="D1664" i="22"/>
  <c r="D1743" i="22"/>
  <c r="D1787" i="22"/>
  <c r="D1774" i="22"/>
  <c r="D1811"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1"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E1692" i="21" s="1"/>
  <c r="D1694" i="21"/>
  <c r="D1703" i="21"/>
  <c r="D1706" i="21"/>
  <c r="D1712" i="21"/>
  <c r="D1715" i="21"/>
  <c r="D1724" i="21"/>
  <c r="D27" i="5"/>
  <c r="D37" i="5"/>
  <c r="D40" i="5"/>
  <c r="D43" i="5"/>
  <c r="D53" i="5"/>
  <c r="D64" i="5"/>
  <c r="D74" i="5"/>
  <c r="D105" i="5"/>
  <c r="D113" i="5"/>
  <c r="D121" i="5"/>
  <c r="D129" i="5"/>
  <c r="D149" i="5"/>
  <c r="D150" i="5"/>
  <c r="D156" i="5"/>
  <c r="D157" i="5"/>
  <c r="D160" i="5"/>
  <c r="D164" i="5"/>
  <c r="D177" i="5"/>
  <c r="D178"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15" i="5"/>
  <c r="D225" i="5"/>
  <c r="D229" i="5"/>
  <c r="D233" i="5"/>
  <c r="D237" i="5"/>
  <c r="D241" i="5"/>
  <c r="D34" i="18"/>
  <c r="D44" i="18"/>
  <c r="D50" i="18"/>
  <c r="D63" i="18"/>
  <c r="D69" i="18"/>
  <c r="D79" i="18"/>
  <c r="D85" i="18"/>
  <c r="D106" i="18"/>
  <c r="D146" i="18"/>
  <c r="D154" i="18"/>
  <c r="D162" i="18"/>
  <c r="D181" i="18"/>
  <c r="D189" i="18"/>
  <c r="D193" i="18"/>
  <c r="D45" i="18"/>
  <c r="D205" i="18"/>
  <c r="D203" i="5"/>
  <c r="D204" i="5"/>
  <c r="D217" i="5"/>
  <c r="D218" i="5"/>
  <c r="D25" i="18"/>
  <c r="D26" i="18"/>
  <c r="D27" i="18"/>
  <c r="D36" i="18"/>
  <c r="D39" i="18"/>
  <c r="D42" i="18"/>
  <c r="D52" i="18"/>
  <c r="D71" i="18"/>
  <c r="D74" i="18"/>
  <c r="D77" i="18"/>
  <c r="D87" i="18"/>
  <c r="D90" i="18"/>
  <c r="D108" i="18"/>
  <c r="D111" i="18"/>
  <c r="D115" i="18"/>
  <c r="D141" i="18"/>
  <c r="D142" i="18"/>
  <c r="D149" i="18"/>
  <c r="D150" i="18"/>
  <c r="D157" i="18"/>
  <c r="D158" i="18"/>
  <c r="D165" i="18"/>
  <c r="D166" i="18"/>
  <c r="D177" i="18"/>
  <c r="D184" i="18"/>
  <c r="D185" i="18"/>
  <c r="E1881" i="22"/>
  <c r="D33" i="13"/>
  <c r="D47" i="15"/>
  <c r="D48" i="15"/>
  <c r="D78" i="15"/>
  <c r="D83" i="15"/>
  <c r="D105" i="15"/>
  <c r="D106" i="15"/>
  <c r="D121" i="15"/>
  <c r="D122" i="15"/>
  <c r="D197" i="15"/>
  <c r="D222" i="15"/>
  <c r="D238" i="15"/>
  <c r="D253" i="15"/>
  <c r="D269" i="15"/>
  <c r="D351" i="15"/>
  <c r="D123" i="13"/>
  <c r="D25" i="15"/>
  <c r="D145" i="15"/>
  <c r="D148" i="15"/>
  <c r="D161" i="15"/>
  <c r="D164" i="15"/>
  <c r="D216"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198" i="14"/>
  <c r="D190" i="14"/>
  <c r="D182" i="14"/>
  <c r="D233" i="14"/>
  <c r="D224" i="14"/>
  <c r="D216" i="14"/>
  <c r="D278" i="14"/>
  <c r="D270" i="14"/>
  <c r="D262" i="14"/>
  <c r="D254"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26" i="9" a="1"/>
  <c r="CP26" i="9" s="1"/>
  <c r="CL26" i="9" a="1"/>
  <c r="CL26" i="9" s="1"/>
  <c r="CH26" i="9" a="1"/>
  <c r="CH26" i="9" s="1"/>
  <c r="CC26" i="9" a="1"/>
  <c r="CC26" i="9" s="1"/>
  <c r="BY26" i="9" a="1"/>
  <c r="BY26" i="9" s="1"/>
  <c r="BU26" i="9" a="1"/>
  <c r="BU26" i="9" s="1"/>
  <c r="BQ26" i="9" a="1"/>
  <c r="BQ26" i="9" s="1"/>
  <c r="BM26" i="9" a="1"/>
  <c r="BM26" i="9" s="1"/>
  <c r="BI26" i="9" a="1"/>
  <c r="BI26" i="9" s="1"/>
  <c r="BE26" i="9" a="1"/>
  <c r="BE26" i="9" s="1"/>
  <c r="BA26" i="9" a="1"/>
  <c r="BA26" i="9" s="1"/>
  <c r="AW26" i="9" a="1"/>
  <c r="AW26" i="9" s="1"/>
  <c r="AS26" i="9" a="1"/>
  <c r="AS26" i="9" s="1"/>
  <c r="AO26" i="9" a="1"/>
  <c r="AO26" i="9" s="1"/>
  <c r="AK26" i="9" a="1"/>
  <c r="AK26" i="9" s="1"/>
  <c r="AG26" i="9" a="1"/>
  <c r="AG26" i="9" s="1"/>
  <c r="AC26" i="9" a="1"/>
  <c r="AC26" i="9" s="1"/>
  <c r="Y26" i="9" a="1"/>
  <c r="Y26" i="9" s="1"/>
  <c r="U26" i="9" a="1"/>
  <c r="U26" i="9" s="1"/>
  <c r="Q26" i="9" a="1"/>
  <c r="Q26" i="9" s="1"/>
  <c r="M26" i="9" a="1"/>
  <c r="M26" i="9" s="1"/>
  <c r="I26" i="9" a="1"/>
  <c r="I26" i="9" s="1"/>
  <c r="E26" i="9" a="1"/>
  <c r="E26" i="9" s="1"/>
  <c r="CO26" i="9" a="1"/>
  <c r="CO26" i="9" s="1"/>
  <c r="CK26" i="9" a="1"/>
  <c r="CK26" i="9" s="1"/>
  <c r="CF26" i="9" a="1"/>
  <c r="CF26" i="9" s="1"/>
  <c r="CB26" i="9" a="1"/>
  <c r="CB26" i="9" s="1"/>
  <c r="BX26" i="9" a="1"/>
  <c r="BX26" i="9" s="1"/>
  <c r="BT26" i="9" a="1"/>
  <c r="BT26" i="9" s="1"/>
  <c r="BP26" i="9" a="1"/>
  <c r="BP26" i="9" s="1"/>
  <c r="BL26" i="9" a="1"/>
  <c r="BL26" i="9" s="1"/>
  <c r="BH26" i="9" a="1"/>
  <c r="BH26" i="9" s="1"/>
  <c r="BD26" i="9" a="1"/>
  <c r="BD26" i="9" s="1"/>
  <c r="AZ26" i="9" a="1"/>
  <c r="AZ26" i="9" s="1"/>
  <c r="AV26" i="9" a="1"/>
  <c r="AV26" i="9" s="1"/>
  <c r="AR26" i="9" a="1"/>
  <c r="AR26" i="9" s="1"/>
  <c r="AN26" i="9" a="1"/>
  <c r="AN26" i="9" s="1"/>
  <c r="AJ26" i="9" a="1"/>
  <c r="AJ26" i="9" s="1"/>
  <c r="AF26" i="9" a="1"/>
  <c r="AF26" i="9" s="1"/>
  <c r="AB26" i="9" a="1"/>
  <c r="AB26" i="9" s="1"/>
  <c r="X26" i="9" a="1"/>
  <c r="X26" i="9" s="1"/>
  <c r="T26" i="9" a="1"/>
  <c r="T26" i="9" s="1"/>
  <c r="P26" i="9" a="1"/>
  <c r="P26" i="9" s="1"/>
  <c r="L26" i="9" a="1"/>
  <c r="L26" i="9" s="1"/>
  <c r="H26" i="9" a="1"/>
  <c r="H26" i="9" s="1"/>
  <c r="CQ26" i="9" a="1"/>
  <c r="CQ26" i="9" s="1"/>
  <c r="CI26" i="9" a="1"/>
  <c r="CI26" i="9" s="1"/>
  <c r="BZ26" i="9" a="1"/>
  <c r="BZ26" i="9" s="1"/>
  <c r="BR26" i="9" a="1"/>
  <c r="BR26" i="9" s="1"/>
  <c r="BJ26" i="9" a="1"/>
  <c r="BJ26" i="9" s="1"/>
  <c r="BB26" i="9" a="1"/>
  <c r="BB26" i="9" s="1"/>
  <c r="AT26" i="9" a="1"/>
  <c r="AT26" i="9" s="1"/>
  <c r="AL26" i="9" a="1"/>
  <c r="AL26" i="9" s="1"/>
  <c r="AD26" i="9" a="1"/>
  <c r="AD26" i="9" s="1"/>
  <c r="V26" i="9" a="1"/>
  <c r="V26" i="9" s="1"/>
  <c r="N26" i="9" a="1"/>
  <c r="N26" i="9" s="1"/>
  <c r="F26" i="9" a="1"/>
  <c r="F26" i="9" s="1"/>
  <c r="CN26" i="9" a="1"/>
  <c r="CN26" i="9" s="1"/>
  <c r="CE26" i="9" a="1"/>
  <c r="CE26" i="9" s="1"/>
  <c r="BW26" i="9" a="1"/>
  <c r="BW26" i="9" s="1"/>
  <c r="BO26" i="9" a="1"/>
  <c r="BO26" i="9" s="1"/>
  <c r="BG26" i="9" a="1"/>
  <c r="BG26" i="9" s="1"/>
  <c r="AY26" i="9" a="1"/>
  <c r="AY26" i="9" s="1"/>
  <c r="AQ26" i="9" a="1"/>
  <c r="AQ26" i="9" s="1"/>
  <c r="AI26" i="9" a="1"/>
  <c r="AI26" i="9" s="1"/>
  <c r="AA26" i="9" a="1"/>
  <c r="AA26" i="9" s="1"/>
  <c r="S26" i="9" a="1"/>
  <c r="S26" i="9" s="1"/>
  <c r="K26" i="9" a="1"/>
  <c r="K26" i="9" s="1"/>
  <c r="CM26" i="9" a="1"/>
  <c r="CM26" i="9" s="1"/>
  <c r="CD26" i="9" a="1"/>
  <c r="CD26" i="9" s="1"/>
  <c r="BV26" i="9" a="1"/>
  <c r="BV26" i="9" s="1"/>
  <c r="BN26" i="9" a="1"/>
  <c r="BN26" i="9" s="1"/>
  <c r="BF26" i="9" a="1"/>
  <c r="BF26" i="9" s="1"/>
  <c r="AX26" i="9" a="1"/>
  <c r="AX26" i="9" s="1"/>
  <c r="AP26" i="9" a="1"/>
  <c r="AP26" i="9" s="1"/>
  <c r="AH26" i="9" a="1"/>
  <c r="AH26" i="9" s="1"/>
  <c r="Z26" i="9" a="1"/>
  <c r="Z26" i="9" s="1"/>
  <c r="R26" i="9" a="1"/>
  <c r="R26" i="9" s="1"/>
  <c r="J26" i="9" a="1"/>
  <c r="J26" i="9" s="1"/>
  <c r="CR26" i="9" a="1"/>
  <c r="CR26" i="9" s="1"/>
  <c r="CJ26" i="9" a="1"/>
  <c r="CJ26" i="9" s="1"/>
  <c r="CA26" i="9" a="1"/>
  <c r="CA26" i="9" s="1"/>
  <c r="BS26" i="9" a="1"/>
  <c r="BS26" i="9" s="1"/>
  <c r="BK26" i="9" a="1"/>
  <c r="BK26" i="9" s="1"/>
  <c r="BC26" i="9" a="1"/>
  <c r="BC26" i="9" s="1"/>
  <c r="AU26" i="9" a="1"/>
  <c r="AU26" i="9" s="1"/>
  <c r="AM26" i="9" a="1"/>
  <c r="AM26" i="9" s="1"/>
  <c r="AE26" i="9" a="1"/>
  <c r="AE26" i="9" s="1"/>
  <c r="W26" i="9" a="1"/>
  <c r="W26" i="9" s="1"/>
  <c r="O26" i="9" a="1"/>
  <c r="O26" i="9" s="1"/>
  <c r="G26" i="9" a="1"/>
  <c r="G26"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140" i="14"/>
  <c r="D203" i="14"/>
  <c r="D195" i="14"/>
  <c r="D187" i="14"/>
  <c r="D179" i="14"/>
  <c r="D232" i="14"/>
  <c r="D229" i="14"/>
  <c r="D221" i="14"/>
  <c r="D275" i="14"/>
  <c r="D267" i="14"/>
  <c r="D259" i="14"/>
  <c r="D391" i="14"/>
  <c r="D384" i="14"/>
  <c r="D380" i="14"/>
  <c r="D377" i="14"/>
  <c r="D413" i="14"/>
  <c r="D465" i="14"/>
  <c r="D457" i="14"/>
  <c r="D449" i="14"/>
  <c r="D482" i="14"/>
  <c r="D544" i="14"/>
  <c r="D536" i="14"/>
  <c r="D528" i="14"/>
  <c r="D520" i="14"/>
  <c r="D558" i="14"/>
  <c r="D620" i="14"/>
  <c r="D612" i="14"/>
  <c r="D604" i="14"/>
  <c r="D596"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64" i="14"/>
  <c r="D63" i="14"/>
  <c r="D103" i="14"/>
  <c r="D202" i="14"/>
  <c r="D194" i="14"/>
  <c r="D186" i="14"/>
  <c r="D178"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672" i="14"/>
  <c r="D730" i="14"/>
  <c r="D722" i="14"/>
  <c r="D714" i="14"/>
  <c r="D1420" i="22"/>
  <c r="D46" i="21"/>
  <c r="D59" i="21"/>
  <c r="D145" i="21"/>
  <c r="D161" i="21"/>
  <c r="D180" i="21"/>
  <c r="D39" i="22"/>
  <c r="D31" i="22"/>
  <c r="D85" i="22"/>
  <c r="D77" i="22"/>
  <c r="D122" i="22"/>
  <c r="D114" i="22"/>
  <c r="D113" i="22"/>
  <c r="D111" i="22"/>
  <c r="D102" i="22"/>
  <c r="D160" i="22"/>
  <c r="D152" i="22"/>
  <c r="D144" i="22"/>
  <c r="D202" i="22"/>
  <c r="D198" i="22"/>
  <c r="D194" i="22"/>
  <c r="D190" i="22"/>
  <c r="D186" i="22"/>
  <c r="D178" i="22"/>
  <c r="D240" i="22"/>
  <c r="D232" i="22"/>
  <c r="D224" i="22"/>
  <c r="D216"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482" i="22"/>
  <c r="D525" i="22"/>
  <c r="D558"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18" i="22"/>
  <c r="D1360" i="22"/>
  <c r="D1356" i="22"/>
  <c r="D1436" i="22"/>
  <c r="D1490" i="22"/>
  <c r="D1482" i="22"/>
  <c r="D1532" i="22"/>
  <c r="D1528" i="22"/>
  <c r="D1524" i="22"/>
  <c r="D1520" i="22"/>
  <c r="D1517" i="22"/>
  <c r="D1509" i="22"/>
  <c r="D1555" i="22"/>
  <c r="D1546" i="22"/>
  <c r="D1588" i="22"/>
  <c r="D1646" i="22"/>
  <c r="D1642" i="22"/>
  <c r="D1638" i="22"/>
  <c r="D1634" i="22"/>
  <c r="D1630" i="22"/>
  <c r="D1626" i="22"/>
  <c r="D1677" i="22"/>
  <c r="D1669" i="22"/>
  <c r="D1660"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1850" i="22"/>
  <c r="D38" i="22"/>
  <c r="D30" i="22"/>
  <c r="D84" i="22"/>
  <c r="D76" i="22"/>
  <c r="D72" i="22"/>
  <c r="D68" i="22"/>
  <c r="D64" i="22"/>
  <c r="D119" i="22"/>
  <c r="D110" i="22"/>
  <c r="D163" i="22"/>
  <c r="D157" i="22"/>
  <c r="D149" i="22"/>
  <c r="D141" i="22"/>
  <c r="D183" i="22"/>
  <c r="D237" i="22"/>
  <c r="D229" i="22"/>
  <c r="D221" i="22"/>
  <c r="D312" i="22"/>
  <c r="D304" i="22"/>
  <c r="D296" i="22"/>
  <c r="D354" i="22"/>
  <c r="D350" i="22"/>
  <c r="D346" i="22"/>
  <c r="D342" i="22"/>
  <c r="D338" i="22"/>
  <c r="D334" i="22"/>
  <c r="D330" i="22"/>
  <c r="D373" i="22"/>
  <c r="D430" i="22"/>
  <c r="D426" i="22"/>
  <c r="D422" i="22"/>
  <c r="D418" i="22"/>
  <c r="D414" i="22"/>
  <c r="D410" i="22"/>
  <c r="D406"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748" i="22"/>
  <c r="D810" i="22"/>
  <c r="D798" i="22"/>
  <c r="D790" i="22"/>
  <c r="D851" i="22"/>
  <c r="D848" i="22"/>
  <c r="D847" i="22"/>
  <c r="D844" i="22"/>
  <c r="D843" i="22"/>
  <c r="D840" i="22"/>
  <c r="D839" i="22"/>
  <c r="D836" i="22"/>
  <c r="D835" i="22"/>
  <c r="D832" i="22"/>
  <c r="D831" i="22"/>
  <c r="D828" i="22"/>
  <c r="D827" i="22"/>
  <c r="D824" i="22"/>
  <c r="D886" i="22"/>
  <c r="D878" i="22"/>
  <c r="D870" i="22"/>
  <c r="D862" i="22"/>
  <c r="D901" i="22"/>
  <c r="D939" i="22"/>
  <c r="D1001" i="22"/>
  <c r="D988" i="22"/>
  <c r="D1038" i="22"/>
  <c r="D1034" i="22"/>
  <c r="D1030" i="22"/>
  <c r="D1026" i="22"/>
  <c r="D1022" i="22"/>
  <c r="D1018" i="22"/>
  <c r="D1013" i="22"/>
  <c r="D1064" i="22"/>
  <c r="D1060" i="22"/>
  <c r="D1056" i="22"/>
  <c r="D1052" i="22"/>
  <c r="D1111" i="22"/>
  <c r="D1095" i="22"/>
  <c r="D1228" i="22"/>
  <c r="D1220" i="22"/>
  <c r="D1216" i="22"/>
  <c r="D1212" i="22"/>
  <c r="D1204" i="22"/>
  <c r="D1304" i="22"/>
  <c r="D1300" i="22"/>
  <c r="D1296" i="22"/>
  <c r="D1288" i="22"/>
  <c r="D1280" i="22"/>
  <c r="D1418" i="22"/>
  <c r="D1410" i="22"/>
  <c r="D1439" i="22"/>
  <c r="D1433" i="22"/>
  <c r="D1495" i="22"/>
  <c r="D1487" i="22"/>
  <c r="D1478" i="22"/>
  <c r="D1474" i="22"/>
  <c r="D1471" i="22"/>
  <c r="D1516" i="22"/>
  <c r="D1515" i="22"/>
  <c r="D1514" i="22"/>
  <c r="D1508" i="22"/>
  <c r="D1507" i="22"/>
  <c r="D1554" i="22"/>
  <c r="D1551" i="22"/>
  <c r="D1610" i="22"/>
  <c r="D1609" i="22"/>
  <c r="D1606" i="22"/>
  <c r="D1605" i="22"/>
  <c r="D1602" i="22"/>
  <c r="D1601" i="22"/>
  <c r="D1598" i="22"/>
  <c r="D1597" i="22"/>
  <c r="D1594" i="22"/>
  <c r="D1593" i="22"/>
  <c r="D1585" i="22"/>
  <c r="D1623" i="22"/>
  <c r="D1684" i="22"/>
  <c r="D1676" i="22"/>
  <c r="D1674" i="22"/>
  <c r="D1668" i="22"/>
  <c r="D1667" i="22"/>
  <c r="D1666" i="22"/>
  <c r="D1697" i="22"/>
  <c r="D1761" i="22"/>
  <c r="D1753" i="22"/>
  <c r="D1751" i="22"/>
  <c r="D1744" i="22"/>
  <c r="D1736" i="22"/>
  <c r="D1778" i="22"/>
  <c r="D1839" i="22"/>
  <c r="D1836" i="22"/>
  <c r="D1835" i="22"/>
  <c r="D1832" i="22"/>
  <c r="D1831" i="22"/>
  <c r="D1828" i="22"/>
  <c r="D1827" i="22"/>
  <c r="D1824" i="22"/>
  <c r="D1823" i="22"/>
  <c r="D1820" i="22"/>
  <c r="D1819" i="22"/>
  <c r="D1816" i="22"/>
  <c r="D1815" i="22"/>
  <c r="D1812"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40"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44" i="22"/>
  <c r="D494" i="22"/>
  <c r="D486" i="22"/>
  <c r="D544" i="22"/>
  <c r="D540" i="22"/>
  <c r="D536" i="22"/>
  <c r="D532" i="22"/>
  <c r="D521" i="22"/>
  <c r="D563" i="22"/>
  <c r="D616" i="22"/>
  <c r="D608" i="22"/>
  <c r="D596" i="22"/>
  <c r="D658" i="22"/>
  <c r="D650" i="22"/>
  <c r="D642" i="22"/>
  <c r="D634" i="22"/>
  <c r="D696" i="22"/>
  <c r="D688" i="22"/>
  <c r="D680" i="22"/>
  <c r="D672" i="22"/>
  <c r="D883" i="22"/>
  <c r="D875" i="22"/>
  <c r="D867" i="22"/>
  <c r="D900" i="22"/>
  <c r="D938" i="22"/>
  <c r="D975" i="22"/>
  <c r="D1014"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50" i="22"/>
  <c r="D1608" i="22"/>
  <c r="D1604" i="22"/>
  <c r="D1600" i="22"/>
  <c r="D1596" i="22"/>
  <c r="D1592" i="22"/>
  <c r="D1584" i="22"/>
  <c r="D1622" i="22"/>
  <c r="D1681" i="22"/>
  <c r="D1673" i="22"/>
  <c r="D1665" i="22"/>
  <c r="D1725" i="22"/>
  <c r="D1722" i="22"/>
  <c r="D1721" i="22"/>
  <c r="D1718" i="22"/>
  <c r="D1717" i="22"/>
  <c r="D1714" i="22"/>
  <c r="D1713" i="22"/>
  <c r="D1710" i="22"/>
  <c r="D1706" i="22"/>
  <c r="D1702" i="22"/>
  <c r="D1698"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786" i="22"/>
  <c r="D882" i="22"/>
  <c r="D874" i="22"/>
  <c r="D866" i="22"/>
  <c r="D924" i="22"/>
  <c r="D920" i="22"/>
  <c r="D916" i="22"/>
  <c r="D912" i="22"/>
  <c r="D908" i="22"/>
  <c r="D905" i="22"/>
  <c r="D996" i="22"/>
  <c r="D992" i="22"/>
  <c r="D984" i="22"/>
  <c r="D980" i="22"/>
  <c r="D976" i="22"/>
  <c r="D1076" i="22"/>
  <c r="D1112" i="22"/>
  <c r="D1106" i="22"/>
  <c r="D1103" i="22"/>
  <c r="D1096" i="22"/>
  <c r="D1090" i="22"/>
  <c r="D1152" i="22"/>
  <c r="D1148" i="22"/>
  <c r="D1144" i="22"/>
  <c r="D1140" i="22"/>
  <c r="D1136" i="22"/>
  <c r="D1132" i="22"/>
  <c r="D1128" i="22"/>
  <c r="D1190" i="22"/>
  <c r="D1186" i="22"/>
  <c r="D1182" i="22"/>
  <c r="D1178" i="22"/>
  <c r="D1174" i="22"/>
  <c r="D1170" i="22"/>
  <c r="D1166" i="22"/>
  <c r="D1224" i="22"/>
  <c r="D1208" i="22"/>
  <c r="D1266" i="22"/>
  <c r="D1262" i="22"/>
  <c r="D1258" i="22"/>
  <c r="D1254" i="22"/>
  <c r="D1250" i="22"/>
  <c r="D1246" i="22"/>
  <c r="D1242"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0"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849"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59" i="22"/>
  <c r="D1649" i="22"/>
  <c r="D1645" i="22"/>
  <c r="D1641" i="22"/>
  <c r="D1637" i="22"/>
  <c r="D1633" i="22"/>
  <c r="D1629" i="22"/>
  <c r="D1625" i="22"/>
  <c r="D1624" i="22"/>
  <c r="D1621" i="22"/>
  <c r="D1587" i="22"/>
  <c r="D1586" i="22"/>
  <c r="D1611" i="22"/>
  <c r="D1607" i="22"/>
  <c r="D1603" i="22"/>
  <c r="D1599" i="22"/>
  <c r="D1595" i="22"/>
  <c r="D1591" i="22"/>
  <c r="D1590" i="22"/>
  <c r="D1583"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31" i="22"/>
  <c r="D1417" i="22"/>
  <c r="D1409" i="22"/>
  <c r="D1404" i="22"/>
  <c r="D1400" i="22"/>
  <c r="D1396" i="22"/>
  <c r="D1421" i="22"/>
  <c r="D1413" i="22"/>
  <c r="D1359" i="22"/>
  <c r="D1355" i="22"/>
  <c r="D1382" i="22"/>
  <c r="D1378" i="22"/>
  <c r="D1374" i="22"/>
  <c r="D1370" i="22"/>
  <c r="D1366" i="22"/>
  <c r="D1344" i="22"/>
  <c r="D1343" i="22"/>
  <c r="D1340" i="22"/>
  <c r="D1337" i="22"/>
  <c r="D1333" i="22"/>
  <c r="D1329" i="22"/>
  <c r="D1325" i="22"/>
  <c r="D1321" i="22"/>
  <c r="D1317"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41" i="22"/>
  <c r="D1231" i="22"/>
  <c r="D1230" i="22"/>
  <c r="D1222" i="22"/>
  <c r="D1207" i="22"/>
  <c r="D1206" i="22"/>
  <c r="D1218" i="22"/>
  <c r="D1217" i="22"/>
  <c r="D1214" i="22"/>
  <c r="D1213" i="22"/>
  <c r="D1227" i="22"/>
  <c r="D1226" i="22"/>
  <c r="D1219" i="22"/>
  <c r="D1215" i="22"/>
  <c r="D1210" i="22"/>
  <c r="D1203" i="22"/>
  <c r="D1193" i="22"/>
  <c r="D1189" i="22"/>
  <c r="D1185" i="22"/>
  <c r="D1181" i="22"/>
  <c r="D1177" i="22"/>
  <c r="D1173" i="22"/>
  <c r="D1169" i="22"/>
  <c r="D1165" i="22"/>
  <c r="D1155" i="22"/>
  <c r="D1151" i="22"/>
  <c r="D1147" i="22"/>
  <c r="D1143" i="22"/>
  <c r="D1139" i="22"/>
  <c r="D1135" i="22"/>
  <c r="D1131" i="22"/>
  <c r="D1127" i="22"/>
  <c r="D1109" i="22"/>
  <c r="D1093" i="22"/>
  <c r="D1105" i="22"/>
  <c r="D1089" i="22"/>
  <c r="D1101" i="22"/>
  <c r="D1063" i="22"/>
  <c r="D1061" i="22"/>
  <c r="D1059" i="22"/>
  <c r="D1057" i="22"/>
  <c r="D1055" i="22"/>
  <c r="D1053" i="22"/>
  <c r="D1051"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85"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71"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95" i="22"/>
  <c r="D560" i="22"/>
  <c r="D584" i="22"/>
  <c r="D583" i="22"/>
  <c r="D580" i="22"/>
  <c r="D579" i="22"/>
  <c r="D576" i="22"/>
  <c r="D575" i="22"/>
  <c r="D572" i="22"/>
  <c r="D571" i="22"/>
  <c r="D568" i="22"/>
  <c r="D567" i="22"/>
  <c r="D557" i="22"/>
  <c r="D546" i="22"/>
  <c r="D545" i="22"/>
  <c r="D542" i="22"/>
  <c r="D541" i="22"/>
  <c r="D538" i="22"/>
  <c r="D537" i="22"/>
  <c r="D534" i="22"/>
  <c r="D533" i="22"/>
  <c r="D523" i="22"/>
  <c r="D522" i="22"/>
  <c r="D547" i="22"/>
  <c r="D543" i="22"/>
  <c r="D539" i="22"/>
  <c r="D535" i="22"/>
  <c r="D530" i="22"/>
  <c r="D529" i="22"/>
  <c r="D526" i="22"/>
  <c r="D519" i="22"/>
  <c r="D493" i="22"/>
  <c r="D492" i="22"/>
  <c r="D485" i="22"/>
  <c r="D484" i="22"/>
  <c r="D508" i="22"/>
  <c r="D507" i="22"/>
  <c r="D504" i="22"/>
  <c r="D503" i="22"/>
  <c r="D500" i="22"/>
  <c r="D499" i="22"/>
  <c r="D462" i="22"/>
  <c r="D447" i="22"/>
  <c r="D446" i="22"/>
  <c r="D445" i="22"/>
  <c r="D433" i="22"/>
  <c r="D429" i="22"/>
  <c r="D425" i="22"/>
  <c r="D421" i="22"/>
  <c r="D417" i="22"/>
  <c r="D413" i="22"/>
  <c r="D409" i="22"/>
  <c r="D405"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91" i="22"/>
  <c r="D280" i="22"/>
  <c r="D279" i="22"/>
  <c r="D276" i="22"/>
  <c r="D275" i="22"/>
  <c r="D272" i="22"/>
  <c r="D271" i="22"/>
  <c r="D268" i="22"/>
  <c r="D267" i="22"/>
  <c r="D264" i="22"/>
  <c r="D263" i="22"/>
  <c r="D260" i="22"/>
  <c r="D259" i="22"/>
  <c r="D256" i="22"/>
  <c r="D257" i="22"/>
  <c r="D243" i="22"/>
  <c r="D242" i="22"/>
  <c r="D235" i="22"/>
  <c r="D234" i="22"/>
  <c r="D227" i="22"/>
  <c r="D226" i="22"/>
  <c r="D219" i="22"/>
  <c r="D218" i="22"/>
  <c r="D215" i="22"/>
  <c r="D181" i="22"/>
  <c r="D180" i="22"/>
  <c r="D205" i="22"/>
  <c r="D201" i="22"/>
  <c r="D197" i="22"/>
  <c r="D193" i="22"/>
  <c r="D189" i="22"/>
  <c r="D185" i="22"/>
  <c r="D184" i="22"/>
  <c r="D177"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63" i="22"/>
  <c r="D37" i="22"/>
  <c r="D36" i="22"/>
  <c r="D29" i="22"/>
  <c r="D28" i="22"/>
  <c r="D52" i="22"/>
  <c r="D51" i="22"/>
  <c r="D48" i="22"/>
  <c r="D47" i="22"/>
  <c r="D44" i="22"/>
  <c r="D43" i="22"/>
  <c r="D729" i="14"/>
  <c r="D728" i="14"/>
  <c r="D721" i="14"/>
  <c r="D720" i="14"/>
  <c r="D713" i="14"/>
  <c r="D712" i="14"/>
  <c r="E704" i="14"/>
  <c r="D737" i="14"/>
  <c r="D732" i="14"/>
  <c r="D725" i="14"/>
  <c r="D724" i="14"/>
  <c r="D717" i="14"/>
  <c r="D716" i="14"/>
  <c r="D709" i="14"/>
  <c r="D699" i="14"/>
  <c r="D698" i="14"/>
  <c r="D697" i="14"/>
  <c r="D694" i="14"/>
  <c r="D693" i="14"/>
  <c r="D690" i="14"/>
  <c r="D689" i="14"/>
  <c r="D671"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95" i="14"/>
  <c r="D585" i="14"/>
  <c r="D581" i="14"/>
  <c r="D577" i="14"/>
  <c r="D573" i="14"/>
  <c r="D569" i="14"/>
  <c r="D565" i="14"/>
  <c r="D561" i="14"/>
  <c r="D560" i="14"/>
  <c r="D557" i="14"/>
  <c r="D547" i="14"/>
  <c r="D546" i="14"/>
  <c r="D539" i="14"/>
  <c r="D538" i="14"/>
  <c r="D531" i="14"/>
  <c r="D530" i="14"/>
  <c r="D523" i="14"/>
  <c r="D522" i="14"/>
  <c r="D485" i="14"/>
  <c r="D484" i="14"/>
  <c r="D508" i="14"/>
  <c r="D507" i="14"/>
  <c r="D504" i="14"/>
  <c r="D503" i="14"/>
  <c r="D500" i="14"/>
  <c r="D499" i="14"/>
  <c r="D496" i="14"/>
  <c r="D495" i="14"/>
  <c r="D492" i="14"/>
  <c r="D491" i="14"/>
  <c r="D488" i="14"/>
  <c r="D481" i="14"/>
  <c r="D471" i="14"/>
  <c r="D470" i="14"/>
  <c r="D463" i="14"/>
  <c r="D462" i="14"/>
  <c r="D455" i="14"/>
  <c r="D454" i="14"/>
  <c r="D447" i="14"/>
  <c r="D446" i="14"/>
  <c r="D467" i="14"/>
  <c r="D466" i="14"/>
  <c r="D459" i="14"/>
  <c r="D458" i="14"/>
  <c r="D451" i="14"/>
  <c r="D450" i="14"/>
  <c r="D443" i="14"/>
  <c r="D433" i="14"/>
  <c r="D429" i="14"/>
  <c r="D425" i="14"/>
  <c r="D421" i="14"/>
  <c r="D417" i="14"/>
  <c r="D412" i="14"/>
  <c r="D411" i="14"/>
  <c r="D409" i="14"/>
  <c r="D408" i="14"/>
  <c r="D407" i="14"/>
  <c r="D405"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53" i="14"/>
  <c r="D242" i="14"/>
  <c r="D241" i="14"/>
  <c r="D238" i="14"/>
  <c r="D237" i="14"/>
  <c r="D227" i="14"/>
  <c r="D226" i="14"/>
  <c r="D219" i="14"/>
  <c r="D218" i="14"/>
  <c r="D230" i="14"/>
  <c r="D223" i="14"/>
  <c r="D222" i="14"/>
  <c r="D215" i="14"/>
  <c r="D205" i="14"/>
  <c r="D204" i="14"/>
  <c r="D197" i="14"/>
  <c r="D196" i="14"/>
  <c r="D189" i="14"/>
  <c r="D188" i="14"/>
  <c r="D181" i="14"/>
  <c r="D180" i="14"/>
  <c r="D166" i="14"/>
  <c r="D162" i="14"/>
  <c r="D158" i="14"/>
  <c r="D154" i="14"/>
  <c r="D150" i="14"/>
  <c r="D146" i="14"/>
  <c r="D142" i="14"/>
  <c r="D129" i="14"/>
  <c r="D125" i="14"/>
  <c r="D121" i="14"/>
  <c r="D117" i="14"/>
  <c r="D113" i="14"/>
  <c r="D109" i="14"/>
  <c r="D104" i="14"/>
  <c r="D101"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2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N25" i="9" a="1"/>
  <c r="AH25" i="9" a="1"/>
  <c r="BM25" i="9" a="1"/>
  <c r="CK25" i="9" a="1"/>
  <c r="V25" i="9" a="1"/>
  <c r="T25" i="9" a="1"/>
  <c r="BV25" i="9" a="1"/>
  <c r="AQ25" i="9" a="1"/>
  <c r="BX25" i="9" a="1"/>
  <c r="CP25" i="9" a="1"/>
  <c r="BK25" i="9" a="1"/>
  <c r="AN25" i="9" a="1"/>
  <c r="AZ24" i="9" a="1"/>
  <c r="O24" i="9" a="1"/>
  <c r="BA24" i="9" a="1"/>
  <c r="BE24" i="9" a="1"/>
  <c r="AH24" i="9" a="1"/>
  <c r="AI24" i="9" a="1"/>
  <c r="CP24" i="9" a="1"/>
  <c r="BX24" i="9" a="1"/>
  <c r="AA24" i="9" a="1"/>
  <c r="BY24" i="9" a="1"/>
  <c r="BH24" i="9" a="1"/>
  <c r="Z23" i="9" a="1"/>
  <c r="CB23" i="9" a="1"/>
  <c r="Q23" i="9" a="1"/>
  <c r="AV23" i="9" a="1"/>
  <c r="CF23" i="9" a="1"/>
  <c r="N23" i="9" a="1"/>
  <c r="BD23" i="9" a="1"/>
  <c r="CR23" i="9" a="1"/>
  <c r="AH23" i="9" a="1"/>
  <c r="K23" i="9" a="1"/>
  <c r="BE23" i="9" a="1"/>
  <c r="AP23" i="9" a="1"/>
  <c r="Z22" i="9" a="1"/>
  <c r="R22" i="9" a="1"/>
  <c r="BM22" i="9" a="1"/>
  <c r="BR22" i="9" a="1"/>
  <c r="AC22" i="9" a="1"/>
  <c r="CN22" i="9" a="1"/>
  <c r="CF22" i="9" a="1"/>
  <c r="S22" i="9" a="1"/>
  <c r="P22" i="9" a="1"/>
  <c r="AH22" i="9" a="1"/>
  <c r="BS22" i="9" a="1"/>
  <c r="P21" i="9" a="1"/>
  <c r="BJ21" i="9" a="1"/>
  <c r="AK21" i="9" a="1"/>
  <c r="AN21" i="9" a="1"/>
  <c r="Q21" i="9" a="1"/>
  <c r="AE21" i="9" a="1"/>
  <c r="F21" i="9" a="1"/>
  <c r="AP21" i="9" a="1"/>
  <c r="CJ21" i="9" a="1"/>
  <c r="V21" i="9" a="1"/>
  <c r="AY21" i="9" a="1"/>
  <c r="CA21" i="9" a="1"/>
  <c r="K476" i="22"/>
  <c r="V20" i="9" a="1"/>
  <c r="K438" i="14"/>
  <c r="W20" i="9" a="1"/>
  <c r="BU20" i="9" a="1"/>
  <c r="K666" i="22"/>
  <c r="K172" i="22"/>
  <c r="S20" i="9" a="1"/>
  <c r="BM20" i="9" a="1"/>
  <c r="K400" i="14"/>
  <c r="CA20" i="9" a="1"/>
  <c r="E20" i="9" a="1"/>
  <c r="K96" i="13"/>
  <c r="K134" i="14"/>
  <c r="BI20" i="9" a="1"/>
  <c r="K324" i="15"/>
  <c r="BS20" i="9" a="1"/>
  <c r="CF20" i="9" a="1"/>
  <c r="AE20" i="9" a="1"/>
  <c r="K514" i="14"/>
  <c r="P20" i="9" a="1"/>
  <c r="K1084" i="22"/>
  <c r="BB25" i="9" a="1"/>
  <c r="G25" i="9" a="1"/>
  <c r="CG24" i="9" a="1"/>
  <c r="H24" i="9" a="1"/>
  <c r="CL24" i="9" a="1"/>
  <c r="V23" i="9" a="1"/>
  <c r="BX23" i="9" a="1"/>
  <c r="BJ23" i="9" a="1"/>
  <c r="CD22" i="9" a="1"/>
  <c r="CR22" i="9" a="1"/>
  <c r="BW22" i="9" a="1"/>
  <c r="BS21" i="9" a="1"/>
  <c r="AA21" i="9" a="1"/>
  <c r="AW21" i="9" a="1"/>
  <c r="K1350" i="22"/>
  <c r="J20" i="9" a="1"/>
  <c r="AK20" i="9" a="1"/>
  <c r="AL20" i="9" a="1"/>
  <c r="K58" i="22"/>
  <c r="K324" i="14"/>
  <c r="BE25" i="9" a="1"/>
  <c r="BN25" i="9" a="1"/>
  <c r="CK24" i="9" a="1"/>
  <c r="Y24" i="9" a="1"/>
  <c r="M23" i="9" a="1"/>
  <c r="AZ23" i="9" a="1"/>
  <c r="CP22" i="9" a="1"/>
  <c r="L22" i="9" a="1"/>
  <c r="AM21" i="9" a="1"/>
  <c r="BH21" i="9" a="1"/>
  <c r="Q20" i="9" a="1"/>
  <c r="CE20" i="9" a="1"/>
  <c r="AN20" i="9" a="1"/>
  <c r="K324" i="22"/>
  <c r="K1312" i="22"/>
  <c r="E25" i="9" a="1"/>
  <c r="AS25" i="9" a="1"/>
  <c r="AP25" i="9" a="1"/>
  <c r="BN24" i="9" a="1"/>
  <c r="BF23" i="9" a="1"/>
  <c r="AT23" i="9" a="1"/>
  <c r="CL23" i="9" a="1"/>
  <c r="BI22" i="9" a="1"/>
  <c r="AP22" i="9" a="1"/>
  <c r="BK21" i="9" a="1"/>
  <c r="N21" i="9" a="1"/>
  <c r="AZ20" i="9" a="1"/>
  <c r="BG25" i="9" a="1"/>
  <c r="AI25" i="9" a="1"/>
  <c r="CQ25" i="9" a="1"/>
  <c r="BD25" i="9" a="1"/>
  <c r="BA25" i="9" a="1"/>
  <c r="CA25" i="9" a="1"/>
  <c r="J25" i="9" a="1"/>
  <c r="K25" i="9" a="1"/>
  <c r="AR25" i="9" a="1"/>
  <c r="AC25" i="9" a="1"/>
  <c r="AE25" i="9" a="1"/>
  <c r="CH25" i="9" a="1"/>
  <c r="BU24" i="9" a="1"/>
  <c r="BV24" i="9" a="1"/>
  <c r="BW24" i="9" a="1"/>
  <c r="CB24" i="9" a="1"/>
  <c r="CO24" i="9" a="1"/>
  <c r="CQ24" i="9" a="1"/>
  <c r="AC24" i="9" a="1"/>
  <c r="L24" i="9" a="1"/>
  <c r="CI24" i="9" a="1"/>
  <c r="M24" i="9" a="1"/>
  <c r="CC24" i="9" a="1"/>
  <c r="CH23" i="9" a="1"/>
  <c r="P23" i="9" a="1"/>
  <c r="BK23" i="9" a="1"/>
  <c r="CD23" i="9" a="1"/>
  <c r="T23" i="9" a="1"/>
  <c r="BU23" i="9" a="1"/>
  <c r="AM23" i="9" a="1"/>
  <c r="AE23" i="9" a="1"/>
  <c r="CP23" i="9" a="1"/>
  <c r="AF23" i="9" a="1"/>
  <c r="Y23" i="9" a="1"/>
  <c r="BP23" i="9" a="1"/>
  <c r="BC22" i="9" a="1"/>
  <c r="BZ22" i="9" a="1"/>
  <c r="AG22" i="9" a="1"/>
  <c r="F22" i="9" a="1"/>
  <c r="CK22" i="9" a="1"/>
  <c r="AA22" i="9" a="1"/>
  <c r="AZ22" i="9" a="1"/>
  <c r="AS22" i="9" a="1"/>
  <c r="AX22" i="9" a="1"/>
  <c r="CC22" i="9" a="1"/>
  <c r="G22" i="9" a="1"/>
  <c r="BW21" i="9" a="1"/>
  <c r="O21" i="9" a="1"/>
  <c r="BN21" i="9" a="1"/>
  <c r="H21" i="9" a="1"/>
  <c r="AT21" i="9" a="1"/>
  <c r="CH21" i="9" a="1"/>
  <c r="BL21" i="9" a="1"/>
  <c r="BM21" i="9" a="1"/>
  <c r="BC21" i="9" a="1"/>
  <c r="T21" i="9" a="1"/>
  <c r="S21" i="9" a="1"/>
  <c r="AO21" i="9" a="1"/>
  <c r="K628" i="14"/>
  <c r="BL20" i="9" a="1"/>
  <c r="K1122" i="22"/>
  <c r="CD20" i="9" a="1"/>
  <c r="I20" i="9" a="1"/>
  <c r="K96" i="15"/>
  <c r="K172" i="18"/>
  <c r="BZ20" i="9" a="1"/>
  <c r="K818" i="22"/>
  <c r="K666" i="14"/>
  <c r="AU20" i="9" a="1"/>
  <c r="AJ20" i="9" a="1"/>
  <c r="K134" i="22"/>
  <c r="BW20" i="9" a="1"/>
  <c r="CO20" i="9" a="1"/>
  <c r="K1540" i="22"/>
  <c r="AM20" i="9" a="1"/>
  <c r="T20" i="9" a="1"/>
  <c r="H20" i="9" a="1"/>
  <c r="K894" i="22"/>
  <c r="AS20" i="9" a="1"/>
  <c r="K210" i="22"/>
  <c r="S25" i="9" a="1"/>
  <c r="AK25" i="9" a="1"/>
  <c r="BZ24" i="9" a="1"/>
  <c r="AM24" i="9" a="1"/>
  <c r="U24" i="9" a="1"/>
  <c r="G23" i="9" a="1"/>
  <c r="CN23" i="9" a="1"/>
  <c r="W23" i="9" a="1"/>
  <c r="AK22" i="9" a="1"/>
  <c r="CL22" i="9" a="1"/>
  <c r="AR22" i="9" a="1"/>
  <c r="AZ21" i="9" a="1"/>
  <c r="I21" i="9" a="1"/>
  <c r="BD21" i="9" a="1"/>
  <c r="CC20" i="9" a="1"/>
  <c r="K1578" i="22"/>
  <c r="K780" i="22"/>
  <c r="K514" i="22"/>
  <c r="BO25" i="9" a="1"/>
  <c r="AG25" i="9" a="1"/>
  <c r="F24" i="9" a="1"/>
  <c r="CN24" i="9" a="1"/>
  <c r="H23" i="9" a="1"/>
  <c r="AD23" i="9" a="1"/>
  <c r="J22" i="9" a="1"/>
  <c r="K22" i="9" a="1"/>
  <c r="R21" i="9" a="1"/>
  <c r="BE21" i="9" a="1"/>
  <c r="CJ20" i="9" a="1"/>
  <c r="M20" i="9" a="1"/>
  <c r="K1236" i="22"/>
  <c r="K286" i="22"/>
  <c r="AF25" i="9" a="1"/>
  <c r="BW25" i="9" a="1"/>
  <c r="CR25" i="9" a="1"/>
  <c r="BO24" i="9" a="1"/>
  <c r="R24" i="9" a="1"/>
  <c r="BC23" i="9" a="1"/>
  <c r="X23" i="9" a="1"/>
  <c r="BJ22" i="9" a="1"/>
  <c r="AV21" i="9" a="1"/>
  <c r="AU21" i="9" a="1"/>
  <c r="K58" i="14"/>
  <c r="AA25" i="9" a="1"/>
  <c r="CO25" i="9" a="1"/>
  <c r="AD25" i="9" a="1"/>
  <c r="X25" i="9" a="1"/>
  <c r="CD25" i="9" a="1"/>
  <c r="AU25" i="9" a="1"/>
  <c r="H25" i="9" a="1"/>
  <c r="AO25" i="9" a="1"/>
  <c r="L25" i="9" a="1"/>
  <c r="BF25" i="9" a="1"/>
  <c r="CC25" i="9" a="1"/>
  <c r="CE24" i="9" a="1"/>
  <c r="I24" i="9" a="1"/>
  <c r="AP24" i="9" a="1"/>
  <c r="AQ24" i="9" a="1"/>
  <c r="P24" i="9" a="1"/>
  <c r="AB24" i="9" a="1"/>
  <c r="BJ24" i="9" a="1"/>
  <c r="CR24" i="9" a="1"/>
  <c r="AG24" i="9" a="1"/>
  <c r="BB24" i="9" a="1"/>
  <c r="CJ24" i="9" a="1"/>
  <c r="Q24" i="9" a="1"/>
  <c r="BA23" i="9" a="1"/>
  <c r="BQ23" i="9" a="1"/>
  <c r="CO23" i="9" a="1"/>
  <c r="AX23" i="9" a="1"/>
  <c r="AQ23" i="9" a="1"/>
  <c r="AO23" i="9" a="1"/>
  <c r="CG23" i="9" a="1"/>
  <c r="BH23" i="9" a="1"/>
  <c r="BI23" i="9" a="1"/>
  <c r="AK23" i="9" a="1"/>
  <c r="CA23" i="9" a="1"/>
  <c r="BU22" i="9" a="1"/>
  <c r="CI22" i="9" a="1"/>
  <c r="AQ22" i="9" a="1"/>
  <c r="CO22" i="9" a="1"/>
  <c r="AI22" i="9" a="1"/>
  <c r="BD22" i="9" a="1"/>
  <c r="M22" i="9" a="1"/>
  <c r="T22" i="9" a="1"/>
  <c r="BK22" i="9" a="1"/>
  <c r="CA22" i="9" a="1"/>
  <c r="AW22" i="9" a="1"/>
  <c r="AL22" i="9" a="1"/>
  <c r="AQ21" i="9" a="1"/>
  <c r="BX21" i="9" a="1"/>
  <c r="CL21" i="9" a="1"/>
  <c r="BO21" i="9" a="1"/>
  <c r="CF21" i="9" a="1"/>
  <c r="U21" i="9" a="1"/>
  <c r="AF21" i="9" a="1"/>
  <c r="CQ21" i="9" a="1"/>
  <c r="W21" i="9" a="1"/>
  <c r="BR21" i="9" a="1"/>
  <c r="BI21" i="9" a="1"/>
  <c r="K20" i="15"/>
  <c r="K1160" i="22"/>
  <c r="CP20" i="9" a="1"/>
  <c r="K1692" i="22"/>
  <c r="AX20" i="9" a="1"/>
  <c r="K704" i="14"/>
  <c r="K20" i="13"/>
  <c r="K248" i="15"/>
  <c r="AT20" i="9" a="1"/>
  <c r="K1654" i="22"/>
  <c r="CM20" i="9" a="1"/>
  <c r="O20" i="9" a="1"/>
  <c r="BE20" i="9" a="1"/>
  <c r="K742" i="22"/>
  <c r="AQ20" i="9" a="1"/>
  <c r="AB20" i="9" a="1"/>
  <c r="Z20" i="9" a="1"/>
  <c r="G20" i="9" a="1"/>
  <c r="AO20" i="9" a="1"/>
  <c r="K172" i="15"/>
  <c r="BO20" i="9" a="1"/>
  <c r="BX20" i="9" a="1"/>
  <c r="BF20" i="9" a="1"/>
  <c r="AI20" i="9" a="1"/>
  <c r="L20" i="9" a="1"/>
  <c r="CL20" i="9" a="1"/>
  <c r="K20" i="22"/>
  <c r="CJ25" i="9" a="1"/>
  <c r="AV25" i="9" a="1"/>
  <c r="BP25" i="9" a="1"/>
  <c r="AL24" i="9" a="1"/>
  <c r="CM24" i="9" a="1"/>
  <c r="E24" i="9" a="1"/>
  <c r="AS23" i="9" a="1"/>
  <c r="F23" i="9" a="1"/>
  <c r="BO23" i="9" a="1"/>
  <c r="BV22" i="9" a="1"/>
  <c r="W22" i="9" a="1"/>
  <c r="BG22" i="9" a="1"/>
  <c r="AC21" i="9" a="1"/>
  <c r="AH21" i="9" a="1"/>
  <c r="K1198" i="22"/>
  <c r="K58" i="15"/>
  <c r="K1464" i="22"/>
  <c r="BL25" i="9" a="1"/>
  <c r="AJ25" i="9" a="1"/>
  <c r="AK24" i="9" a="1"/>
  <c r="AX24" i="9" a="1"/>
  <c r="BZ23" i="9" a="1"/>
  <c r="AJ22" i="9" a="1"/>
  <c r="BE22" i="9" a="1"/>
  <c r="J21" i="9" a="1"/>
  <c r="AL21" i="9" a="1"/>
  <c r="K248" i="14"/>
  <c r="F20" i="9" a="1"/>
  <c r="X20" i="9" a="1"/>
  <c r="AD20" i="9" a="1"/>
  <c r="K58" i="18"/>
  <c r="W25" i="9" a="1"/>
  <c r="BJ25" i="9" a="1"/>
  <c r="AJ24" i="9" a="1"/>
  <c r="BG24" i="9" a="1"/>
  <c r="J23" i="9" a="1"/>
  <c r="BW23" i="9" a="1"/>
  <c r="AM22" i="9" a="1"/>
  <c r="BT22" i="9" a="1"/>
  <c r="BT21" i="9" a="1"/>
  <c r="CI21" i="9" a="1"/>
  <c r="BC20" i="9" a="1"/>
  <c r="AY20" i="9" a="1"/>
  <c r="BU25" i="9" a="1"/>
  <c r="BH25" i="9" a="1"/>
  <c r="BI25" i="9" a="1"/>
  <c r="CE25" i="9" a="1"/>
  <c r="R25" i="9" a="1"/>
  <c r="O25" i="9" a="1"/>
  <c r="U25" i="9" a="1"/>
  <c r="BR25" i="9" a="1"/>
  <c r="BS25" i="9" a="1"/>
  <c r="CL25" i="9" a="1"/>
  <c r="Q25" i="9" a="1"/>
  <c r="AY24" i="9" a="1"/>
  <c r="AF24" i="9" a="1"/>
  <c r="J24" i="9" a="1"/>
  <c r="K24" i="9" a="1"/>
  <c r="AS24" i="9" a="1"/>
  <c r="AW24" i="9" a="1"/>
  <c r="AD24" i="9" a="1"/>
  <c r="BK24" i="9" a="1"/>
  <c r="BD24" i="9" a="1"/>
  <c r="V24" i="9" a="1"/>
  <c r="BC24" i="9" a="1"/>
  <c r="AN24" i="9" a="1"/>
  <c r="U23" i="9" a="1"/>
  <c r="CI23" i="9" a="1"/>
  <c r="AB23" i="9" a="1"/>
  <c r="R23" i="9" a="1"/>
  <c r="BL23" i="9" a="1"/>
  <c r="I23" i="9" a="1"/>
  <c r="BR23" i="9" a="1"/>
  <c r="CE23" i="9" a="1"/>
  <c r="AC23" i="9" a="1"/>
  <c r="AA23" i="9" a="1"/>
  <c r="O23" i="9" a="1"/>
  <c r="AO22" i="9" a="1"/>
  <c r="V22" i="9" a="1"/>
  <c r="BQ22" i="9" a="1"/>
  <c r="BH22" i="9" a="1"/>
  <c r="BY22" i="9" a="1"/>
  <c r="X22" i="9" a="1"/>
  <c r="CQ22" i="9" a="1"/>
  <c r="BF22" i="9" a="1"/>
  <c r="CH22" i="9" a="1"/>
  <c r="O22" i="9" a="1"/>
  <c r="Q22" i="9" a="1"/>
  <c r="BO22" i="9" a="1"/>
  <c r="K21" i="9" a="1"/>
  <c r="AR21" i="9" a="1"/>
  <c r="Y21" i="9" a="1"/>
  <c r="AI21" i="9" a="1"/>
  <c r="BA21" i="9" a="1"/>
  <c r="AX21" i="9" a="1"/>
  <c r="CN21" i="9" a="1"/>
  <c r="AD21" i="9" a="1"/>
  <c r="BQ21" i="9" a="1"/>
  <c r="CG21" i="9" a="1"/>
  <c r="CM21" i="9" a="1"/>
  <c r="K210" i="15"/>
  <c r="CN20" i="9" a="1"/>
  <c r="AC20" i="9" a="1"/>
  <c r="K362" i="14"/>
  <c r="R20" i="9" a="1"/>
  <c r="K1426" i="22"/>
  <c r="K704" i="22"/>
  <c r="K590" i="14"/>
  <c r="N20" i="9" a="1"/>
  <c r="K58" i="5"/>
  <c r="Y20" i="9" a="1"/>
  <c r="BV20" i="9" a="1"/>
  <c r="K1502" i="22"/>
  <c r="K172" i="5"/>
  <c r="K20" i="9" a="1"/>
  <c r="AW20" i="9" a="1"/>
  <c r="BP20" i="9" a="1"/>
  <c r="BN20" i="9" a="1"/>
  <c r="K96" i="18"/>
  <c r="K1768" i="22"/>
  <c r="CQ20" i="9" a="1"/>
  <c r="AG20" i="9" a="1"/>
  <c r="K20" i="18"/>
  <c r="AL25" i="9" a="1"/>
  <c r="BZ25" i="9" a="1"/>
  <c r="BY25" i="9" a="1"/>
  <c r="BM24" i="9" a="1"/>
  <c r="T24" i="9" a="1"/>
  <c r="CD24" i="9" a="1"/>
  <c r="BT23" i="9" a="1"/>
  <c r="AN23" i="9" a="1"/>
  <c r="BP22" i="9" a="1"/>
  <c r="AD22" i="9" a="1"/>
  <c r="U22" i="9" a="1"/>
  <c r="BV21" i="9" a="1"/>
  <c r="AJ21" i="9" a="1"/>
  <c r="CO21" i="9" a="1"/>
  <c r="AA20" i="9" a="1"/>
  <c r="CH20" i="9" a="1"/>
  <c r="K1388" i="22"/>
  <c r="K248" i="22"/>
  <c r="CK20" i="9" a="1"/>
  <c r="BJ20" i="9" a="1"/>
  <c r="K438" i="22"/>
  <c r="CF25" i="9" a="1"/>
  <c r="M25" i="9" a="1"/>
  <c r="G24" i="9" a="1"/>
  <c r="CM23" i="9" a="1"/>
  <c r="L23" i="9" a="1"/>
  <c r="CK23" i="9" a="1"/>
  <c r="AE22" i="9" a="1"/>
  <c r="CB21" i="9" a="1"/>
  <c r="BY21" i="9" a="1"/>
  <c r="CI20" i="9" a="1"/>
  <c r="CR20" i="9" a="1"/>
  <c r="K590" i="22"/>
  <c r="K286" i="14"/>
  <c r="CI25" i="9" a="1"/>
  <c r="Y25" i="9" a="1"/>
  <c r="X24" i="9" a="1"/>
  <c r="AV24" i="9" a="1"/>
  <c r="AI23" i="9" a="1"/>
  <c r="CM22" i="9" a="1"/>
  <c r="Y22" i="9" a="1"/>
  <c r="AG21" i="9" a="1"/>
  <c r="M21" i="9" a="1"/>
  <c r="BB20" i="9" a="1"/>
  <c r="BT20" i="9" a="1"/>
  <c r="K1806" i="22"/>
  <c r="I25" i="9" a="1"/>
  <c r="AB25" i="9" a="1"/>
  <c r="CM25" i="9" a="1"/>
  <c r="AY25" i="9" a="1"/>
  <c r="BT25" i="9" a="1"/>
  <c r="AW25" i="9" a="1"/>
  <c r="CB25" i="9" a="1"/>
  <c r="F25" i="9" a="1"/>
  <c r="AM25" i="9" a="1"/>
  <c r="CG25" i="9" a="1"/>
  <c r="AT25" i="9" a="1"/>
  <c r="S24" i="9" a="1"/>
  <c r="BI24" i="9" a="1"/>
  <c r="AR24" i="9" a="1"/>
  <c r="BR24" i="9" a="1"/>
  <c r="BS24" i="9" a="1"/>
  <c r="BT24" i="9" a="1"/>
  <c r="CF24" i="9" a="1"/>
  <c r="AE24" i="9" a="1"/>
  <c r="CH24" i="9" a="1"/>
  <c r="BP24" i="9" a="1"/>
  <c r="W24" i="9" a="1"/>
  <c r="BQ24" i="9" a="1"/>
  <c r="BS23" i="9" a="1"/>
  <c r="BB23" i="9" a="1"/>
  <c r="AY23" i="9" a="1"/>
  <c r="BY23" i="9" a="1"/>
  <c r="BV23" i="9" a="1"/>
  <c r="AU23" i="9" a="1"/>
  <c r="AL23" i="9" a="1"/>
  <c r="S23" i="9" a="1"/>
  <c r="CJ23" i="9" a="1"/>
  <c r="CQ23" i="9" a="1"/>
  <c r="AR23" i="9" a="1"/>
  <c r="I22" i="9" a="1"/>
  <c r="AY22" i="9" a="1"/>
  <c r="BL22" i="9" a="1"/>
  <c r="AB22" i="9" a="1"/>
  <c r="H22" i="9" a="1"/>
  <c r="BN22" i="9" a="1"/>
  <c r="CG22" i="9" a="1"/>
  <c r="CJ22" i="9" a="1"/>
  <c r="BA22" i="9" a="1"/>
  <c r="AT22" i="9" a="1"/>
  <c r="BX22" i="9" a="1"/>
  <c r="AN22" i="9" a="1"/>
  <c r="AS21" i="9" a="1"/>
  <c r="L21" i="9" a="1"/>
  <c r="BB21" i="9" a="1"/>
  <c r="CP21" i="9" a="1"/>
  <c r="BP21" i="9" a="1"/>
  <c r="BU21" i="9" a="1"/>
  <c r="BG21" i="9" a="1"/>
  <c r="CD21" i="9" a="1"/>
  <c r="E21" i="9" a="1"/>
  <c r="CK21" i="9" a="1"/>
  <c r="Z21" i="9" a="1"/>
  <c r="K1844" i="22"/>
  <c r="BG20" i="9" a="1"/>
  <c r="BH20" i="9" a="1"/>
  <c r="K476" i="14"/>
  <c r="BD20" i="9" a="1"/>
  <c r="K1046" i="22"/>
  <c r="K1730" i="22"/>
  <c r="K552" i="14"/>
  <c r="AV20" i="9" a="1"/>
  <c r="K970" i="22"/>
  <c r="K20" i="14"/>
  <c r="AP20" i="9" a="1"/>
  <c r="K96" i="5"/>
  <c r="BK20" i="9" a="1"/>
  <c r="BR20" i="9" a="1"/>
  <c r="K210" i="5"/>
  <c r="K172" i="14"/>
  <c r="AH20" i="9" a="1"/>
  <c r="K96" i="22"/>
  <c r="Z25" i="9" a="1"/>
  <c r="K1008" i="22"/>
  <c r="K134" i="18"/>
  <c r="BC25" i="9" a="1"/>
  <c r="P25" i="9" a="1"/>
  <c r="CA24" i="9" a="1"/>
  <c r="BF24" i="9" a="1"/>
  <c r="CC23" i="9" a="1"/>
  <c r="BM23" i="9" a="1"/>
  <c r="E22" i="9" a="1"/>
  <c r="CB22" i="9" a="1"/>
  <c r="BF21" i="9" a="1"/>
  <c r="X21" i="9" a="1"/>
  <c r="U20" i="9" a="1"/>
  <c r="K58" i="13"/>
  <c r="K856" i="22"/>
  <c r="AZ25" i="9" a="1"/>
  <c r="AU24" i="9" a="1"/>
  <c r="BL24" i="9" a="1"/>
  <c r="BG23" i="9" a="1"/>
  <c r="AG23" i="9" a="1"/>
  <c r="N22" i="9" a="1"/>
  <c r="CE22" i="9" a="1"/>
  <c r="G21" i="9" a="1"/>
  <c r="AB21" i="9" a="1"/>
  <c r="K134" i="15"/>
  <c r="BY20" i="9" a="1"/>
  <c r="BQ25" i="9" a="1"/>
  <c r="N25" i="9" a="1"/>
  <c r="AT24" i="9" a="1"/>
  <c r="AO24" i="9" a="1"/>
  <c r="AJ23" i="9" a="1"/>
  <c r="E23" i="9" a="1"/>
  <c r="AU22" i="9" a="1"/>
  <c r="BB22" i="9" a="1"/>
  <c r="CR21" i="9" a="1"/>
  <c r="BZ21" i="9" a="1"/>
  <c r="K20" i="5"/>
  <c r="K400" i="22"/>
  <c r="AX25" i="9" a="1"/>
  <c r="N24" i="9" a="1"/>
  <c r="Z24" i="9" a="1"/>
  <c r="AW23" i="9" a="1"/>
  <c r="BN23" i="9" a="1"/>
  <c r="AF22" i="9" a="1"/>
  <c r="AV22" i="9" a="1"/>
  <c r="CC21" i="9" a="1"/>
  <c r="CE21" i="9" a="1"/>
  <c r="K932" i="22"/>
  <c r="AR20" i="9" a="1"/>
  <c r="BA20" i="9" a="1"/>
  <c r="K210" i="14"/>
  <c r="K134" i="5"/>
  <c r="K1274" i="22"/>
  <c r="BQ20" i="9" a="1"/>
  <c r="K96" i="14"/>
  <c r="CB20" i="9" a="1"/>
  <c r="K1616" i="22"/>
  <c r="K286" i="15"/>
  <c r="K552" i="22"/>
  <c r="K362" i="22"/>
  <c r="AF20" i="9" a="1"/>
  <c r="K628" i="22"/>
  <c r="AF20" i="9" l="1"/>
  <c r="CB20" i="9"/>
  <c r="BQ20" i="9"/>
  <c r="BA20" i="9"/>
  <c r="AR20" i="9"/>
  <c r="CE21" i="9"/>
  <c r="CC21" i="9"/>
  <c r="AV22" i="9"/>
  <c r="AF22" i="9"/>
  <c r="BN23" i="9"/>
  <c r="AW23" i="9"/>
  <c r="Z24" i="9"/>
  <c r="N24" i="9"/>
  <c r="AX25" i="9"/>
  <c r="K14" i="5"/>
  <c r="BZ21" i="9"/>
  <c r="CR21" i="9"/>
  <c r="BB22" i="9"/>
  <c r="AU22" i="9"/>
  <c r="E23" i="9"/>
  <c r="AJ23" i="9"/>
  <c r="AO24" i="9"/>
  <c r="AT24" i="9"/>
  <c r="N25" i="9"/>
  <c r="BQ25" i="9"/>
  <c r="BY20" i="9"/>
  <c r="AB21" i="9"/>
  <c r="G21" i="9"/>
  <c r="CE22" i="9"/>
  <c r="N22" i="9"/>
  <c r="AG23" i="9"/>
  <c r="BG23" i="9"/>
  <c r="BL24" i="9"/>
  <c r="AU24" i="9"/>
  <c r="AZ25" i="9"/>
  <c r="U20" i="9"/>
  <c r="X21" i="9"/>
  <c r="BF21" i="9"/>
  <c r="CB22" i="9"/>
  <c r="E22" i="9"/>
  <c r="BM23" i="9"/>
  <c r="CC23" i="9"/>
  <c r="BF24" i="9"/>
  <c r="CA24" i="9"/>
  <c r="P25" i="9"/>
  <c r="BC25" i="9"/>
  <c r="Z25" i="9"/>
  <c r="AH20" i="9"/>
  <c r="BR20" i="9"/>
  <c r="BK20" i="9"/>
  <c r="AP20" i="9"/>
  <c r="AV20" i="9"/>
  <c r="BD20" i="9"/>
  <c r="BH20" i="9"/>
  <c r="BG20" i="9"/>
  <c r="Z21" i="9"/>
  <c r="CK21" i="9"/>
  <c r="E21" i="9"/>
  <c r="CD21" i="9"/>
  <c r="BG21" i="9"/>
  <c r="BU21" i="9"/>
  <c r="BP21" i="9"/>
  <c r="CP21" i="9"/>
  <c r="BB21" i="9"/>
  <c r="L21" i="9"/>
  <c r="AS21" i="9"/>
  <c r="AN22" i="9"/>
  <c r="BX22" i="9"/>
  <c r="AT22" i="9"/>
  <c r="BA22" i="9"/>
  <c r="CJ22" i="9"/>
  <c r="CG22" i="9"/>
  <c r="DC5" i="19" s="1"/>
  <c r="BN22" i="9"/>
  <c r="H22" i="9"/>
  <c r="AB22" i="9"/>
  <c r="BL22" i="9"/>
  <c r="AY22" i="9"/>
  <c r="I22" i="9"/>
  <c r="AR23" i="9"/>
  <c r="CQ23" i="9"/>
  <c r="CJ23" i="9"/>
  <c r="S23" i="9"/>
  <c r="AL23" i="9"/>
  <c r="AU23" i="9"/>
  <c r="BV23" i="9"/>
  <c r="BY23" i="9"/>
  <c r="AY23" i="9"/>
  <c r="BB23" i="9"/>
  <c r="BS23" i="9"/>
  <c r="BQ24" i="9"/>
  <c r="W24" i="9"/>
  <c r="BP24" i="9"/>
  <c r="CH24" i="9"/>
  <c r="AE24" i="9"/>
  <c r="CF24" i="9"/>
  <c r="BT24" i="9"/>
  <c r="BS24" i="9"/>
  <c r="BR24" i="9"/>
  <c r="AR24" i="9"/>
  <c r="BI24" i="9"/>
  <c r="S24" i="9"/>
  <c r="AT25" i="9"/>
  <c r="CG25" i="9"/>
  <c r="DC8" i="19" s="1"/>
  <c r="AM25" i="9"/>
  <c r="F25" i="9"/>
  <c r="CB25" i="9"/>
  <c r="AW25" i="9"/>
  <c r="BT25" i="9"/>
  <c r="AY25" i="9"/>
  <c r="CM25" i="9"/>
  <c r="AB25" i="9"/>
  <c r="I25" i="9"/>
  <c r="BT20" i="9"/>
  <c r="BB20" i="9"/>
  <c r="M21" i="9"/>
  <c r="AG21" i="9"/>
  <c r="Y22" i="9"/>
  <c r="CM22" i="9"/>
  <c r="AI23" i="9"/>
  <c r="AV24" i="9"/>
  <c r="X24" i="9"/>
  <c r="Y25" i="9"/>
  <c r="CI25" i="9"/>
  <c r="CR20" i="9"/>
  <c r="CI20" i="9"/>
  <c r="BY21" i="9"/>
  <c r="CB21" i="9"/>
  <c r="AE22" i="9"/>
  <c r="CK23" i="9"/>
  <c r="L23" i="9"/>
  <c r="CM23" i="9"/>
  <c r="G24" i="9"/>
  <c r="M25" i="9"/>
  <c r="CF25" i="9"/>
  <c r="BJ20" i="9"/>
  <c r="CK20" i="9"/>
  <c r="CH20" i="9"/>
  <c r="AA20" i="9"/>
  <c r="CO21" i="9"/>
  <c r="AJ21" i="9"/>
  <c r="BV21" i="9"/>
  <c r="U22" i="9"/>
  <c r="AD22" i="9"/>
  <c r="BP22" i="9"/>
  <c r="AN23" i="9"/>
  <c r="BT23" i="9"/>
  <c r="CD24" i="9"/>
  <c r="T24" i="9"/>
  <c r="BM24" i="9"/>
  <c r="BY25" i="9"/>
  <c r="BZ25" i="9"/>
  <c r="AL25" i="9"/>
  <c r="K14" i="18"/>
  <c r="AG20" i="9"/>
  <c r="CQ20" i="9"/>
  <c r="BN20" i="9"/>
  <c r="BP20" i="9"/>
  <c r="AW20" i="9"/>
  <c r="K20" i="9"/>
  <c r="BV20" i="9"/>
  <c r="Y20" i="9"/>
  <c r="N20" i="9"/>
  <c r="R20" i="9"/>
  <c r="AC20" i="9"/>
  <c r="CN20" i="9"/>
  <c r="CM21" i="9"/>
  <c r="CG21" i="9"/>
  <c r="DC4" i="19" s="1"/>
  <c r="BQ21" i="9"/>
  <c r="AD21" i="9"/>
  <c r="CN21" i="9"/>
  <c r="AX21" i="9"/>
  <c r="BA21" i="9"/>
  <c r="AI21" i="9"/>
  <c r="Y21" i="9"/>
  <c r="AR21" i="9"/>
  <c r="K21" i="9"/>
  <c r="BO22" i="9"/>
  <c r="Q22" i="9"/>
  <c r="O22" i="9"/>
  <c r="CH22" i="9"/>
  <c r="BF22" i="9"/>
  <c r="CQ22" i="9"/>
  <c r="X22" i="9"/>
  <c r="BY22" i="9"/>
  <c r="BH22" i="9"/>
  <c r="BQ22" i="9"/>
  <c r="V22" i="9"/>
  <c r="AO22" i="9"/>
  <c r="O23" i="9"/>
  <c r="AA23" i="9"/>
  <c r="AC23" i="9"/>
  <c r="CE23" i="9"/>
  <c r="BR23" i="9"/>
  <c r="I23" i="9"/>
  <c r="BL23" i="9"/>
  <c r="R23" i="9"/>
  <c r="AB23" i="9"/>
  <c r="CI23" i="9"/>
  <c r="U23" i="9"/>
  <c r="AN24" i="9"/>
  <c r="BC24" i="9"/>
  <c r="V24" i="9"/>
  <c r="BD24" i="9"/>
  <c r="BK24" i="9"/>
  <c r="AD24" i="9"/>
  <c r="AW24" i="9"/>
  <c r="AS24" i="9"/>
  <c r="K24" i="9"/>
  <c r="J24" i="9"/>
  <c r="AF24" i="9"/>
  <c r="AY24" i="9"/>
  <c r="Q25" i="9"/>
  <c r="CL25" i="9"/>
  <c r="BS25" i="9"/>
  <c r="BR25" i="9"/>
  <c r="U25" i="9"/>
  <c r="O25" i="9"/>
  <c r="R25" i="9"/>
  <c r="CE25" i="9"/>
  <c r="BI25" i="9"/>
  <c r="BH25" i="9"/>
  <c r="BU25" i="9"/>
  <c r="AY20" i="9"/>
  <c r="BC20" i="9"/>
  <c r="CI21" i="9"/>
  <c r="BT21" i="9"/>
  <c r="BT22" i="9"/>
  <c r="AM22" i="9"/>
  <c r="BW23" i="9"/>
  <c r="J23" i="9"/>
  <c r="BG24" i="9"/>
  <c r="AJ24" i="9"/>
  <c r="BJ25" i="9"/>
  <c r="W25" i="9"/>
  <c r="AD20" i="9"/>
  <c r="X20" i="9"/>
  <c r="F20" i="9"/>
  <c r="AL21" i="9"/>
  <c r="J21" i="9"/>
  <c r="BE22" i="9"/>
  <c r="AJ22" i="9"/>
  <c r="BZ23" i="9"/>
  <c r="AX24" i="9"/>
  <c r="AK24" i="9"/>
  <c r="AJ25" i="9"/>
  <c r="BL25" i="9"/>
  <c r="AH21" i="9"/>
  <c r="AC21" i="9"/>
  <c r="BG22" i="9"/>
  <c r="W22" i="9"/>
  <c r="BV22" i="9"/>
  <c r="BO23" i="9"/>
  <c r="F23" i="9"/>
  <c r="AS23" i="9"/>
  <c r="E24" i="9"/>
  <c r="CM24" i="9"/>
  <c r="AL24" i="9"/>
  <c r="BP25" i="9"/>
  <c r="AV25" i="9"/>
  <c r="CJ25" i="9"/>
  <c r="K14" i="22"/>
  <c r="CL20" i="9"/>
  <c r="L20" i="9"/>
  <c r="AI20" i="9"/>
  <c r="BF20" i="9"/>
  <c r="BX20" i="9"/>
  <c r="BO20" i="9"/>
  <c r="AO20" i="9"/>
  <c r="G20" i="9"/>
  <c r="Z20" i="9"/>
  <c r="AB20" i="9"/>
  <c r="AQ20" i="9"/>
  <c r="BE20" i="9"/>
  <c r="O20" i="9"/>
  <c r="CM20" i="9"/>
  <c r="AT20" i="9"/>
  <c r="AX20" i="9"/>
  <c r="CP20" i="9"/>
  <c r="K14" i="15"/>
  <c r="BI21" i="9"/>
  <c r="BR21" i="9"/>
  <c r="W21" i="9"/>
  <c r="CQ21" i="9"/>
  <c r="AF21" i="9"/>
  <c r="U21" i="9"/>
  <c r="CF21" i="9"/>
  <c r="BO21" i="9"/>
  <c r="CL21" i="9"/>
  <c r="BX21" i="9"/>
  <c r="AQ21" i="9"/>
  <c r="AL22" i="9"/>
  <c r="AW22" i="9"/>
  <c r="CA22" i="9"/>
  <c r="BK22" i="9"/>
  <c r="T22" i="9"/>
  <c r="M22" i="9"/>
  <c r="BD22" i="9"/>
  <c r="AI22" i="9"/>
  <c r="CO22" i="9"/>
  <c r="AQ22" i="9"/>
  <c r="CI22" i="9"/>
  <c r="BU22" i="9"/>
  <c r="CA23" i="9"/>
  <c r="AK23" i="9"/>
  <c r="BI23" i="9"/>
  <c r="BH23" i="9"/>
  <c r="CG23" i="9"/>
  <c r="DC6" i="19" s="1"/>
  <c r="AO23" i="9"/>
  <c r="AQ23" i="9"/>
  <c r="AX23" i="9"/>
  <c r="CO23" i="9"/>
  <c r="BQ23" i="9"/>
  <c r="BA23" i="9"/>
  <c r="Q24" i="9"/>
  <c r="CJ24" i="9"/>
  <c r="BB24" i="9"/>
  <c r="AG24" i="9"/>
  <c r="CR24" i="9"/>
  <c r="BJ24" i="9"/>
  <c r="AB24" i="9"/>
  <c r="P24" i="9"/>
  <c r="AQ24" i="9"/>
  <c r="AP24" i="9"/>
  <c r="I24" i="9"/>
  <c r="CE24" i="9"/>
  <c r="CC25" i="9"/>
  <c r="BF25" i="9"/>
  <c r="L25" i="9"/>
  <c r="AO25" i="9"/>
  <c r="H25" i="9"/>
  <c r="AU25" i="9"/>
  <c r="CD25" i="9"/>
  <c r="X25" i="9"/>
  <c r="AD25" i="9"/>
  <c r="CO25" i="9"/>
  <c r="AA25" i="9"/>
  <c r="AU21" i="9"/>
  <c r="AV21" i="9"/>
  <c r="BJ22" i="9"/>
  <c r="X23" i="9"/>
  <c r="BC23" i="9"/>
  <c r="R24" i="9"/>
  <c r="BO24" i="9"/>
  <c r="CR25" i="9"/>
  <c r="BW25" i="9"/>
  <c r="AF25" i="9"/>
  <c r="M20" i="9"/>
  <c r="CJ20" i="9"/>
  <c r="BE21" i="9"/>
  <c r="R21" i="9"/>
  <c r="K22" i="9"/>
  <c r="J22" i="9"/>
  <c r="AD23" i="9"/>
  <c r="H23" i="9"/>
  <c r="CN24" i="9"/>
  <c r="F24" i="9"/>
  <c r="AG25" i="9"/>
  <c r="BO25" i="9"/>
  <c r="CC20" i="9"/>
  <c r="BD21" i="9"/>
  <c r="I21" i="9"/>
  <c r="AZ21" i="9"/>
  <c r="AR22" i="9"/>
  <c r="CL22" i="9"/>
  <c r="AK22" i="9"/>
  <c r="W23" i="9"/>
  <c r="CN23" i="9"/>
  <c r="G23" i="9"/>
  <c r="U24" i="9"/>
  <c r="AM24" i="9"/>
  <c r="BZ24" i="9"/>
  <c r="AK25" i="9"/>
  <c r="S25" i="9"/>
  <c r="AS20" i="9"/>
  <c r="H20" i="9"/>
  <c r="T20" i="9"/>
  <c r="AM20" i="9"/>
  <c r="CO20" i="9"/>
  <c r="BW20" i="9"/>
  <c r="AJ20" i="9"/>
  <c r="AU20" i="9"/>
  <c r="BZ20" i="9"/>
  <c r="I20" i="9"/>
  <c r="CD20" i="9"/>
  <c r="BL20" i="9"/>
  <c r="AO21" i="9"/>
  <c r="S21" i="9"/>
  <c r="T21" i="9"/>
  <c r="BC21" i="9"/>
  <c r="BM21" i="9"/>
  <c r="BL21" i="9"/>
  <c r="CH21" i="9"/>
  <c r="AT21" i="9"/>
  <c r="H21" i="9"/>
  <c r="BN21" i="9"/>
  <c r="O21" i="9"/>
  <c r="BW21" i="9"/>
  <c r="G22" i="9"/>
  <c r="CC22" i="9"/>
  <c r="AX22" i="9"/>
  <c r="AS22" i="9"/>
  <c r="AZ22" i="9"/>
  <c r="AA22" i="9"/>
  <c r="CK22" i="9"/>
  <c r="F22" i="9"/>
  <c r="AG22" i="9"/>
  <c r="BZ22" i="9"/>
  <c r="BC22" i="9"/>
  <c r="BP23" i="9"/>
  <c r="Y23" i="9"/>
  <c r="AF23" i="9"/>
  <c r="CP23" i="9"/>
  <c r="AE23" i="9"/>
  <c r="AM23" i="9"/>
  <c r="BU23" i="9"/>
  <c r="T23" i="9"/>
  <c r="CD23" i="9"/>
  <c r="BK23" i="9"/>
  <c r="P23" i="9"/>
  <c r="CH23" i="9"/>
  <c r="CC24" i="9"/>
  <c r="M24" i="9"/>
  <c r="CI24" i="9"/>
  <c r="L24" i="9"/>
  <c r="AC24" i="9"/>
  <c r="CQ24" i="9"/>
  <c r="CO24" i="9"/>
  <c r="CB24" i="9"/>
  <c r="BW24" i="9"/>
  <c r="BV24" i="9"/>
  <c r="BU24" i="9"/>
  <c r="CH25" i="9"/>
  <c r="AE25" i="9"/>
  <c r="AC25" i="9"/>
  <c r="AR25" i="9"/>
  <c r="K25" i="9"/>
  <c r="J25" i="9"/>
  <c r="CA25" i="9"/>
  <c r="BA25" i="9"/>
  <c r="BD25" i="9"/>
  <c r="CQ25" i="9"/>
  <c r="AI25" i="9"/>
  <c r="BG25" i="9"/>
  <c r="AZ20" i="9"/>
  <c r="N21" i="9"/>
  <c r="BK21" i="9"/>
  <c r="AP22" i="9"/>
  <c r="BI22" i="9"/>
  <c r="CL23" i="9"/>
  <c r="AT23" i="9"/>
  <c r="BF23" i="9"/>
  <c r="BN24" i="9"/>
  <c r="AP25" i="9"/>
  <c r="AS25" i="9"/>
  <c r="E25" i="9"/>
  <c r="AN20" i="9"/>
  <c r="CE20" i="9"/>
  <c r="Q20" i="9"/>
  <c r="BH21" i="9"/>
  <c r="AM21" i="9"/>
  <c r="L22" i="9"/>
  <c r="CP22" i="9"/>
  <c r="AZ23" i="9"/>
  <c r="M23" i="9"/>
  <c r="Y24" i="9"/>
  <c r="CK24" i="9"/>
  <c r="BN25" i="9"/>
  <c r="BE25" i="9"/>
  <c r="AL20" i="9"/>
  <c r="AK20" i="9"/>
  <c r="J20" i="9"/>
  <c r="AW21" i="9"/>
  <c r="AA21" i="9"/>
  <c r="BS21" i="9"/>
  <c r="BW22" i="9"/>
  <c r="CR22" i="9"/>
  <c r="CD22" i="9"/>
  <c r="BJ23" i="9"/>
  <c r="BX23" i="9"/>
  <c r="V23" i="9"/>
  <c r="CL24" i="9"/>
  <c r="H24" i="9"/>
  <c r="CG24" i="9"/>
  <c r="DC7" i="19" s="1"/>
  <c r="G25" i="9"/>
  <c r="BB25" i="9"/>
  <c r="P20" i="9"/>
  <c r="AE20" i="9"/>
  <c r="CF20" i="9"/>
  <c r="BS20" i="9"/>
  <c r="BI20" i="9"/>
  <c r="E20" i="9"/>
  <c r="CA20" i="9"/>
  <c r="BM20" i="9"/>
  <c r="S20" i="9"/>
  <c r="BU20" i="9"/>
  <c r="W20" i="9"/>
  <c r="V20" i="9"/>
  <c r="CA21" i="9"/>
  <c r="AY21" i="9"/>
  <c r="V21" i="9"/>
  <c r="CJ21" i="9"/>
  <c r="AP21" i="9"/>
  <c r="F21" i="9"/>
  <c r="AE21" i="9"/>
  <c r="Q21" i="9"/>
  <c r="AN21" i="9"/>
  <c r="AK21" i="9"/>
  <c r="BJ21" i="9"/>
  <c r="P21" i="9"/>
  <c r="BS22" i="9"/>
  <c r="AH22" i="9"/>
  <c r="P22" i="9"/>
  <c r="S22" i="9"/>
  <c r="CF22" i="9"/>
  <c r="CN22" i="9"/>
  <c r="AC22" i="9"/>
  <c r="BR22" i="9"/>
  <c r="BM22" i="9"/>
  <c r="R22" i="9"/>
  <c r="Z22" i="9"/>
  <c r="AP23" i="9"/>
  <c r="BE23" i="9"/>
  <c r="K23" i="9"/>
  <c r="AH23" i="9"/>
  <c r="CR23" i="9"/>
  <c r="BD23" i="9"/>
  <c r="N23" i="9"/>
  <c r="CF23" i="9"/>
  <c r="AV23" i="9"/>
  <c r="Q23" i="9"/>
  <c r="CB23" i="9"/>
  <c r="Z23" i="9"/>
  <c r="BH24" i="9"/>
  <c r="BY24" i="9"/>
  <c r="AA24" i="9"/>
  <c r="BX24" i="9"/>
  <c r="CP24" i="9"/>
  <c r="AI24" i="9"/>
  <c r="AH24" i="9"/>
  <c r="BE24" i="9"/>
  <c r="BA24" i="9"/>
  <c r="O24" i="9"/>
  <c r="AZ24" i="9"/>
  <c r="AN25" i="9"/>
  <c r="BK25" i="9"/>
  <c r="CP25" i="9"/>
  <c r="BX25" i="9"/>
  <c r="AQ25" i="9"/>
  <c r="BV25" i="9"/>
  <c r="T25" i="9"/>
  <c r="V25" i="9"/>
  <c r="CK25" i="9"/>
  <c r="BM25" i="9"/>
  <c r="AH25" i="9"/>
  <c r="CN25"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8" i="9"/>
  <c r="P9"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G55" i="9"/>
  <c r="U55" i="9"/>
  <c r="X55" i="9"/>
  <c r="BT55" i="9"/>
  <c r="CO55" i="9"/>
  <c r="CF55" i="9"/>
  <c r="AS55" i="9"/>
  <c r="CN55" i="9"/>
  <c r="BB55" i="9"/>
  <c r="AO55" i="9"/>
  <c r="BZ55" i="9"/>
  <c r="J134" i="14"/>
  <c r="F210" i="14"/>
  <c r="H172" i="15"/>
  <c r="J1692" i="21"/>
  <c r="J172" i="15"/>
  <c r="I400" i="14"/>
  <c r="H666" i="14"/>
  <c r="F400" i="14"/>
  <c r="F286" i="14"/>
  <c r="I362" i="14"/>
  <c r="G96" i="14"/>
  <c r="BJ55" i="9"/>
  <c r="BR55" i="9"/>
  <c r="BE55" i="9"/>
  <c r="CM55" i="9"/>
  <c r="BQ55" i="9"/>
  <c r="CG55" i="9"/>
  <c r="Y55" i="9"/>
  <c r="AB55" i="9"/>
  <c r="AK55" i="9"/>
  <c r="AU55" i="9"/>
  <c r="AM55" i="9"/>
  <c r="S55" i="9"/>
  <c r="AY55" i="9"/>
  <c r="AQ55" i="9"/>
  <c r="F704" i="14"/>
  <c r="J134" i="15"/>
  <c r="I1692" i="21"/>
  <c r="G134" i="14"/>
  <c r="G248" i="14"/>
  <c r="I324" i="14"/>
  <c r="J514" i="14"/>
  <c r="J324" i="14"/>
  <c r="J286" i="14"/>
  <c r="H1882" i="22"/>
  <c r="I248" i="14"/>
  <c r="Q55" i="9"/>
  <c r="I514" i="14"/>
  <c r="F362" i="14"/>
  <c r="I1882" i="22"/>
  <c r="G134" i="15"/>
  <c r="BS55" i="9"/>
  <c r="AT55" i="9"/>
  <c r="CQ55" i="9"/>
  <c r="H55" i="9"/>
  <c r="J55" i="9"/>
  <c r="CA55" i="9"/>
  <c r="P55" i="9"/>
  <c r="K55" i="9"/>
  <c r="CI55" i="9"/>
  <c r="Z55" i="9"/>
  <c r="BG55" i="9"/>
  <c r="AL55" i="9"/>
  <c r="G628" i="14"/>
  <c r="J400" i="14"/>
  <c r="G210" i="14"/>
  <c r="H628" i="14"/>
  <c r="I286" i="14"/>
  <c r="F134" i="14"/>
  <c r="F1882" i="22"/>
  <c r="G666" i="14"/>
  <c r="F514" i="14"/>
  <c r="AC55" i="9"/>
  <c r="AF55" i="9"/>
  <c r="AD55" i="9"/>
  <c r="CP55" i="9"/>
  <c r="BH55" i="9"/>
  <c r="BD55" i="9"/>
  <c r="BF55" i="9"/>
  <c r="CJ55" i="9"/>
  <c r="BL55" i="9"/>
  <c r="AE55" i="9"/>
  <c r="AI55" i="9"/>
  <c r="BV55" i="9"/>
  <c r="L55" i="9"/>
  <c r="CH55" i="9"/>
  <c r="H704" i="14"/>
  <c r="F172" i="14"/>
  <c r="I96" i="14"/>
  <c r="G362" i="14"/>
  <c r="H96" i="14"/>
  <c r="H210" i="14"/>
  <c r="F628" i="14"/>
  <c r="G324" i="14"/>
  <c r="F96" i="14"/>
  <c r="F248" i="14"/>
  <c r="BP55" i="9"/>
  <c r="J248" i="14"/>
  <c r="I134" i="15"/>
  <c r="G286" i="14"/>
  <c r="O55" i="9"/>
  <c r="BA55" i="9"/>
  <c r="M55" i="9"/>
  <c r="AR55" i="9"/>
  <c r="BY55" i="9"/>
  <c r="CL55" i="9"/>
  <c r="CK55" i="9"/>
  <c r="CB55" i="9"/>
  <c r="CR55" i="9"/>
  <c r="BI55" i="9"/>
  <c r="BU55" i="9"/>
  <c r="G172" i="15"/>
  <c r="G704" i="14"/>
  <c r="J704" i="14"/>
  <c r="J666" i="14"/>
  <c r="H362" i="14"/>
  <c r="H134" i="14"/>
  <c r="H324" i="14"/>
  <c r="F1692" i="21"/>
  <c r="J210" i="14"/>
  <c r="I628" i="14"/>
  <c r="I172" i="15"/>
  <c r="AX55" i="9"/>
  <c r="W55" i="9"/>
  <c r="BK55" i="9"/>
  <c r="R55" i="9"/>
  <c r="E55" i="9"/>
  <c r="AA55" i="9"/>
  <c r="AJ55" i="9"/>
  <c r="AG55" i="9"/>
  <c r="AP55" i="9"/>
  <c r="AN55" i="9"/>
  <c r="AW55" i="9"/>
  <c r="BX55" i="9"/>
  <c r="AH55" i="9"/>
  <c r="H286" i="14"/>
  <c r="F666" i="14"/>
  <c r="G514" i="14"/>
  <c r="F134" i="15"/>
  <c r="I210" i="14"/>
  <c r="H1692" i="21"/>
  <c r="H134" i="15"/>
  <c r="J628" i="14"/>
  <c r="J362" i="14"/>
  <c r="H400" i="14"/>
  <c r="G1882" i="22"/>
  <c r="J1882" i="22"/>
  <c r="AV55" i="9"/>
  <c r="BC55" i="9"/>
  <c r="CE55" i="9"/>
  <c r="BO55" i="9"/>
  <c r="AZ55" i="9"/>
  <c r="BW55" i="9"/>
  <c r="N55" i="9"/>
  <c r="CC55" i="9"/>
  <c r="T55" i="9"/>
  <c r="F55" i="9"/>
  <c r="V55" i="9"/>
  <c r="BN55" i="9"/>
  <c r="CD55" i="9"/>
  <c r="I704" i="14"/>
  <c r="G1692" i="21"/>
  <c r="G400" i="14"/>
  <c r="H248" i="14"/>
  <c r="F172" i="15"/>
  <c r="I172" i="14"/>
  <c r="H514" i="14"/>
  <c r="G172" i="14"/>
  <c r="I666" i="14"/>
  <c r="J96" i="14"/>
  <c r="BM55" i="9"/>
  <c r="I134" i="14"/>
  <c r="H172" i="14"/>
  <c r="J172" i="14"/>
  <c r="F324"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616" i="21"/>
  <c r="G1654" i="21"/>
  <c r="J1844" i="22"/>
  <c r="G1350" i="21"/>
  <c r="H1578" i="22"/>
  <c r="H1350" i="21"/>
  <c r="H1426" i="22"/>
  <c r="F1426" i="22"/>
  <c r="H970" i="22"/>
  <c r="F970" i="21"/>
  <c r="G1616" i="21"/>
  <c r="J1654" i="21"/>
  <c r="H1654" i="21"/>
  <c r="H1540" i="22"/>
  <c r="J1616" i="21"/>
  <c r="I1122" i="22"/>
  <c r="F1654" i="21"/>
  <c r="F1350" i="21"/>
  <c r="J970" i="21"/>
  <c r="J1008" i="22"/>
  <c r="F1008" i="22"/>
  <c r="J1426" i="22"/>
  <c r="G970" i="21"/>
  <c r="H1008" i="22"/>
  <c r="G1426" i="22"/>
  <c r="G1122" i="22"/>
  <c r="F1844" i="22"/>
  <c r="I1350" i="21"/>
  <c r="J970" i="22"/>
  <c r="H1122" i="22"/>
  <c r="I970" i="22"/>
  <c r="F1578" i="22"/>
  <c r="G1844" i="22"/>
  <c r="F1616" i="21"/>
  <c r="I970" i="21"/>
  <c r="G1578" i="22"/>
  <c r="I1654" i="21"/>
  <c r="H1844" i="22"/>
  <c r="G970" i="22"/>
  <c r="I1008" i="22"/>
  <c r="J1540" i="22"/>
  <c r="I1426" i="22"/>
  <c r="J1122" i="22"/>
  <c r="I1844" i="22"/>
  <c r="H970" i="21"/>
  <c r="J1578" i="22"/>
  <c r="G1540" i="22"/>
  <c r="I1540" i="22"/>
  <c r="J1350" i="21"/>
  <c r="I1616" i="21"/>
  <c r="I1578" i="22"/>
  <c r="G1008" i="22"/>
  <c r="F970" i="22"/>
  <c r="F1540"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324" i="21"/>
  <c r="G20" i="21"/>
  <c r="F96" i="15"/>
  <c r="J96" i="5"/>
  <c r="H210" i="15"/>
  <c r="H780" i="22"/>
  <c r="J1084" i="22"/>
  <c r="F400" i="21"/>
  <c r="H96" i="18"/>
  <c r="J324" i="21"/>
  <c r="G856" i="22"/>
  <c r="G362" i="22"/>
  <c r="J704" i="22"/>
  <c r="J590" i="21"/>
  <c r="J666" i="22"/>
  <c r="J1388" i="22"/>
  <c r="H704" i="21"/>
  <c r="F1084" i="22"/>
  <c r="J1046" i="21"/>
  <c r="H58" i="15"/>
  <c r="F1806" i="22"/>
  <c r="J552" i="14"/>
  <c r="G286" i="22"/>
  <c r="I1122" i="21"/>
  <c r="F1388" i="22"/>
  <c r="J1388" i="21"/>
  <c r="J58" i="13"/>
  <c r="J476" i="14"/>
  <c r="G58" i="15"/>
  <c r="G1312" i="22"/>
  <c r="F1236" i="22"/>
  <c r="G552" i="22"/>
  <c r="G818" i="21"/>
  <c r="F1350" i="22"/>
  <c r="J1464" i="21"/>
  <c r="I856" i="21"/>
  <c r="I1730" i="22"/>
  <c r="G20" i="22"/>
  <c r="F134" i="21"/>
  <c r="G324" i="15"/>
  <c r="I172" i="22"/>
  <c r="J1464" i="22"/>
  <c r="J1654" i="22"/>
  <c r="F172" i="22"/>
  <c r="I96" i="13"/>
  <c r="H286" i="22"/>
  <c r="J1312" i="22"/>
  <c r="F666" i="21"/>
  <c r="F210" i="5"/>
  <c r="J210" i="5"/>
  <c r="H590" i="14"/>
  <c r="G780" i="22"/>
  <c r="F58" i="5"/>
  <c r="J1046" i="22"/>
  <c r="F324" i="15"/>
  <c r="J514" i="21"/>
  <c r="I1198" i="21"/>
  <c r="I1274" i="21"/>
  <c r="G514" i="21"/>
  <c r="G96" i="5"/>
  <c r="I58" i="14"/>
  <c r="I134" i="18"/>
  <c r="H476" i="14"/>
  <c r="F1236" i="21"/>
  <c r="J1350" i="22"/>
  <c r="G286" i="21"/>
  <c r="F400" i="22"/>
  <c r="I1464" i="22"/>
  <c r="I210" i="5"/>
  <c r="G1692" i="22"/>
  <c r="J324" i="22"/>
  <c r="J286" i="22"/>
  <c r="F704" i="21"/>
  <c r="H1426" i="21"/>
  <c r="G210" i="15"/>
  <c r="G172" i="5"/>
  <c r="F590" i="22"/>
  <c r="G1464" i="21"/>
  <c r="H476" i="22"/>
  <c r="F894" i="21"/>
  <c r="I1350" i="22"/>
  <c r="J210" i="22"/>
  <c r="G1388" i="22"/>
  <c r="H400" i="21"/>
  <c r="H552" i="21"/>
  <c r="G438" i="21"/>
  <c r="H1768" i="22"/>
  <c r="F134" i="22"/>
  <c r="F438" i="22"/>
  <c r="I438" i="22"/>
  <c r="G58" i="22"/>
  <c r="J894" i="22"/>
  <c r="F514" i="21"/>
  <c r="J1616" i="22"/>
  <c r="F96" i="21"/>
  <c r="G20" i="14"/>
  <c r="H248" i="15"/>
  <c r="F210" i="15"/>
  <c r="F1464" i="22"/>
  <c r="H1046" i="21"/>
  <c r="J818" i="21"/>
  <c r="J818" i="22"/>
  <c r="G1502" i="22"/>
  <c r="J172" i="21"/>
  <c r="J1084" i="21"/>
  <c r="I324" i="15"/>
  <c r="I248" i="22"/>
  <c r="H324" i="15"/>
  <c r="I1160" i="22"/>
  <c r="I1806" i="22"/>
  <c r="G20" i="13"/>
  <c r="I438" i="14"/>
  <c r="J1426" i="21"/>
  <c r="F248" i="22"/>
  <c r="G400" i="22"/>
  <c r="F1160" i="21"/>
  <c r="H1160" i="21"/>
  <c r="J1806" i="22"/>
  <c r="J20" i="18"/>
  <c r="G248" i="22"/>
  <c r="H780" i="21"/>
  <c r="F894" i="22"/>
  <c r="G666" i="21"/>
  <c r="G1388" i="21"/>
  <c r="H1198" i="22"/>
  <c r="H210" i="5"/>
  <c r="I1236" i="21"/>
  <c r="G1046" i="22"/>
  <c r="F1160" i="22"/>
  <c r="I476" i="14"/>
  <c r="I1312" i="21"/>
  <c r="J1730" i="22"/>
  <c r="F932" i="22"/>
  <c r="J1312" i="21"/>
  <c r="J58" i="21"/>
  <c r="F438" i="14"/>
  <c r="F1084" i="21"/>
  <c r="I666" i="21"/>
  <c r="F628" i="22"/>
  <c r="I1160" i="21"/>
  <c r="J666" i="21"/>
  <c r="J1008" i="21"/>
  <c r="J514" i="22"/>
  <c r="G96" i="13"/>
  <c r="G1236" i="22"/>
  <c r="I96" i="18"/>
  <c r="G96" i="15"/>
  <c r="I20" i="5"/>
  <c r="I286" i="15"/>
  <c r="H552" i="22"/>
  <c r="I286" i="22"/>
  <c r="H552" i="14"/>
  <c r="H1236" i="22"/>
  <c r="H58" i="22"/>
  <c r="F780" i="21"/>
  <c r="J438" i="14"/>
  <c r="H1046" i="22"/>
  <c r="G1160" i="21"/>
  <c r="J742" i="22"/>
  <c r="H438" i="14"/>
  <c r="I590" i="14"/>
  <c r="I1426" i="21"/>
  <c r="H134" i="21"/>
  <c r="F210" i="21"/>
  <c r="G134" i="21"/>
  <c r="I1388" i="22"/>
  <c r="H210" i="21"/>
  <c r="H1122" i="21"/>
  <c r="I818" i="22"/>
  <c r="J438" i="21"/>
  <c r="F210" i="22"/>
  <c r="I1008" i="21"/>
  <c r="J1540" i="21"/>
  <c r="F818" i="22"/>
  <c r="F134" i="18"/>
  <c r="J894" i="21"/>
  <c r="F20" i="22"/>
  <c r="I1768" i="22"/>
  <c r="H1236" i="21"/>
  <c r="J552" i="21"/>
  <c r="H20" i="14"/>
  <c r="J58" i="22"/>
  <c r="H1274" i="22"/>
  <c r="F96" i="18"/>
  <c r="I856" i="22"/>
  <c r="I362" i="22"/>
  <c r="H134" i="18"/>
  <c r="G552" i="21"/>
  <c r="H1540" i="21"/>
  <c r="G20" i="18"/>
  <c r="H742" i="22"/>
  <c r="I20" i="15"/>
  <c r="J780" i="22"/>
  <c r="H514" i="22"/>
  <c r="J286" i="15"/>
  <c r="G742" i="21"/>
  <c r="F1008" i="21"/>
  <c r="I1540" i="21"/>
  <c r="H590" i="21"/>
  <c r="H818" i="21"/>
  <c r="J780" i="21"/>
  <c r="I286" i="21"/>
  <c r="G1312" i="21"/>
  <c r="J476" i="22"/>
  <c r="F20" i="18"/>
  <c r="F1122" i="21"/>
  <c r="I552" i="21"/>
  <c r="F172" i="5"/>
  <c r="H248" i="21"/>
  <c r="G286" i="15"/>
  <c r="I1502" i="22"/>
  <c r="G134" i="5"/>
  <c r="G210" i="5"/>
  <c r="G1768" i="22"/>
  <c r="J362" i="22"/>
  <c r="H438" i="22"/>
  <c r="J1198" i="22"/>
  <c r="H20" i="13"/>
  <c r="G1236" i="21"/>
  <c r="H1312" i="21"/>
  <c r="F590" i="14"/>
  <c r="F742" i="21"/>
  <c r="G1426" i="21"/>
  <c r="F476" i="21"/>
  <c r="J1768" i="22"/>
  <c r="J172" i="22"/>
  <c r="G96" i="21"/>
  <c r="I96" i="15"/>
  <c r="H20" i="22"/>
  <c r="J1274" i="21"/>
  <c r="J248" i="22"/>
  <c r="H58" i="5"/>
  <c r="I476" i="22"/>
  <c r="G438" i="22"/>
  <c r="H628" i="22"/>
  <c r="H1388" i="21"/>
  <c r="I58" i="22"/>
  <c r="I514" i="21"/>
  <c r="G1540" i="21"/>
  <c r="G58" i="5"/>
  <c r="F780" i="22"/>
  <c r="I58" i="15"/>
  <c r="F286" i="22"/>
  <c r="H628" i="21"/>
  <c r="J1160" i="21"/>
  <c r="H20" i="18"/>
  <c r="J210" i="21"/>
  <c r="G742" i="22"/>
  <c r="I704" i="22"/>
  <c r="F1692" i="22"/>
  <c r="H58" i="21"/>
  <c r="H96" i="22"/>
  <c r="H20" i="21"/>
  <c r="G590" i="14"/>
  <c r="F172" i="18"/>
  <c r="F704" i="22"/>
  <c r="H172" i="18"/>
  <c r="J1122" i="21"/>
  <c r="J856" i="22"/>
  <c r="J96" i="22"/>
  <c r="H210" i="22"/>
  <c r="G1122" i="21"/>
  <c r="I1502" i="21"/>
  <c r="I1388" i="21"/>
  <c r="H1578" i="21"/>
  <c r="H1616" i="22"/>
  <c r="J1502" i="22"/>
  <c r="H172" i="22"/>
  <c r="F476" i="14"/>
  <c r="G856" i="21"/>
  <c r="J552" i="22"/>
  <c r="J58" i="14"/>
  <c r="F1046" i="22"/>
  <c r="F514" i="22"/>
  <c r="H362" i="21"/>
  <c r="I1236" i="22"/>
  <c r="G932" i="22"/>
  <c r="I20" i="22"/>
  <c r="I932" i="22"/>
  <c r="F1312" i="22"/>
  <c r="J20" i="15"/>
  <c r="I210" i="15"/>
  <c r="F856" i="22"/>
  <c r="H1388" i="22"/>
  <c r="J704" i="21"/>
  <c r="I1084" i="22"/>
  <c r="J96" i="13"/>
  <c r="H96" i="13"/>
  <c r="G1046" i="21"/>
  <c r="F96" i="22"/>
  <c r="G1502" i="21"/>
  <c r="I172" i="18"/>
  <c r="H1502" i="22"/>
  <c r="I96" i="22"/>
  <c r="G932" i="21"/>
  <c r="I248" i="21"/>
  <c r="F58" i="18"/>
  <c r="J1236" i="22"/>
  <c r="J438" i="22"/>
  <c r="G1350" i="22"/>
  <c r="I628" i="21"/>
  <c r="J96" i="15"/>
  <c r="I172" i="21"/>
  <c r="I20" i="21"/>
  <c r="I552" i="22"/>
  <c r="F1502" i="21"/>
  <c r="J172" i="5"/>
  <c r="H96" i="5"/>
  <c r="J932" i="21"/>
  <c r="G400" i="21"/>
  <c r="I1654" i="22"/>
  <c r="I134" i="5"/>
  <c r="I20" i="14"/>
  <c r="F20" i="21"/>
  <c r="J476" i="21"/>
  <c r="J400" i="22"/>
  <c r="I742" i="22"/>
  <c r="F856" i="21"/>
  <c r="J134" i="22"/>
  <c r="F932" i="21"/>
  <c r="G172" i="21"/>
  <c r="G780" i="21"/>
  <c r="G172" i="22"/>
  <c r="J20" i="5"/>
  <c r="F248" i="21"/>
  <c r="G666" i="22"/>
  <c r="H134" i="22"/>
  <c r="J20" i="14"/>
  <c r="J20" i="13"/>
  <c r="G1654" i="22"/>
  <c r="F58" i="21"/>
  <c r="J210" i="15"/>
  <c r="F134" i="5"/>
  <c r="G324" i="21"/>
  <c r="J286" i="21"/>
  <c r="G552" i="14"/>
  <c r="I96" i="21"/>
  <c r="J58" i="18"/>
  <c r="H58" i="18"/>
  <c r="F552" i="21"/>
  <c r="J58" i="5"/>
  <c r="J96" i="18"/>
  <c r="G628" i="21"/>
  <c r="H894" i="22"/>
  <c r="F1578" i="21"/>
  <c r="G590" i="21"/>
  <c r="H1350" i="22"/>
  <c r="I552" i="14"/>
  <c r="I894" i="22"/>
  <c r="H1806" i="22"/>
  <c r="I780" i="22"/>
  <c r="J628" i="22"/>
  <c r="I1046" i="21"/>
  <c r="H590" i="22"/>
  <c r="H1464" i="21"/>
  <c r="I438" i="21"/>
  <c r="G590" i="22"/>
  <c r="G1198" i="21"/>
  <c r="F438" i="21"/>
  <c r="H248" i="22"/>
  <c r="J1274" i="22"/>
  <c r="G1084" i="22"/>
  <c r="F362" i="22"/>
  <c r="F20" i="5"/>
  <c r="G172" i="18"/>
  <c r="I20" i="13"/>
  <c r="H1274" i="21"/>
  <c r="G704" i="21"/>
  <c r="I1578" i="21"/>
  <c r="J1160" i="22"/>
  <c r="J362" i="21"/>
  <c r="G58" i="18"/>
  <c r="F248" i="15"/>
  <c r="J628" i="21"/>
  <c r="I1616" i="22"/>
  <c r="F1198" i="22"/>
  <c r="H856" i="22"/>
  <c r="F324" i="21"/>
  <c r="H20" i="5"/>
  <c r="H400" i="22"/>
  <c r="H1692" i="22"/>
  <c r="I400" i="22"/>
  <c r="F552" i="14"/>
  <c r="I324" i="22"/>
  <c r="G894" i="21"/>
  <c r="H666" i="22"/>
  <c r="H172" i="5"/>
  <c r="G704" i="22"/>
  <c r="G1084" i="21"/>
  <c r="F362" i="21"/>
  <c r="F1730" i="22"/>
  <c r="I1692" i="22"/>
  <c r="H932" i="22"/>
  <c r="F552" i="22"/>
  <c r="G1008" i="21"/>
  <c r="G58" i="13"/>
  <c r="J590" i="22"/>
  <c r="G134" i="18"/>
  <c r="H1198" i="21"/>
  <c r="I134" i="22"/>
  <c r="J932" i="22"/>
  <c r="H1654" i="22"/>
  <c r="H1084" i="21"/>
  <c r="H362" i="22"/>
  <c r="F58" i="22"/>
  <c r="F1768" i="22"/>
  <c r="J134" i="21"/>
  <c r="F742" i="22"/>
  <c r="I210" i="21"/>
  <c r="G96" i="22"/>
  <c r="F1654" i="22"/>
  <c r="I780" i="21"/>
  <c r="J1578" i="21"/>
  <c r="H818" i="22"/>
  <c r="I1312" i="22"/>
  <c r="F476" i="22"/>
  <c r="G476" i="21"/>
  <c r="G514" i="22"/>
  <c r="H134" i="5"/>
  <c r="F666" i="22"/>
  <c r="G210" i="22"/>
  <c r="F96" i="5"/>
  <c r="I1084" i="21"/>
  <c r="H1502" i="21"/>
  <c r="H894" i="21"/>
  <c r="F628" i="21"/>
  <c r="F1198" i="21"/>
  <c r="H856" i="21"/>
  <c r="F1616" i="22"/>
  <c r="F286" i="15"/>
  <c r="F20" i="14"/>
  <c r="F286" i="21"/>
  <c r="J172" i="18"/>
  <c r="H742" i="21"/>
  <c r="H1008" i="21"/>
  <c r="J96" i="21"/>
  <c r="J324" i="15"/>
  <c r="I58" i="5"/>
  <c r="G1578" i="21"/>
  <c r="I20" i="18"/>
  <c r="I1046" i="22"/>
  <c r="J248" i="21"/>
  <c r="H932" i="21"/>
  <c r="G1160" i="22"/>
  <c r="G134" i="22"/>
  <c r="I58" i="21"/>
  <c r="G248" i="15"/>
  <c r="I362" i="21"/>
  <c r="H1084" i="22"/>
  <c r="G210" i="21"/>
  <c r="F324" i="22"/>
  <c r="F1274" i="21"/>
  <c r="J20" i="21"/>
  <c r="F1312" i="21"/>
  <c r="I1274" i="22"/>
  <c r="H20" i="15"/>
  <c r="H96" i="15"/>
  <c r="G1464" i="22"/>
  <c r="G362" i="21"/>
  <c r="H1730" i="22"/>
  <c r="G20" i="15"/>
  <c r="I590" i="22"/>
  <c r="I818" i="21"/>
  <c r="G628" i="22"/>
  <c r="I172" i="5"/>
  <c r="H1312" i="22"/>
  <c r="F58" i="14"/>
  <c r="G20" i="5"/>
  <c r="I134" i="21"/>
  <c r="G476" i="22"/>
  <c r="J58" i="15"/>
  <c r="J134" i="18"/>
  <c r="I324" i="21"/>
  <c r="I1464" i="21"/>
  <c r="F1426" i="21"/>
  <c r="J1502" i="21"/>
  <c r="F1540" i="21"/>
  <c r="G248" i="21"/>
  <c r="F58" i="13"/>
  <c r="H704" i="22"/>
  <c r="F590" i="21"/>
  <c r="J248" i="15"/>
  <c r="H324" i="22"/>
  <c r="G1730" i="22"/>
  <c r="J1236" i="21"/>
  <c r="I628" i="22"/>
  <c r="H666" i="21"/>
  <c r="I400" i="21"/>
  <c r="G438" i="14"/>
  <c r="H58" i="14"/>
  <c r="G1274" i="22"/>
  <c r="J856" i="21"/>
  <c r="J742" i="21"/>
  <c r="I514" i="22"/>
  <c r="G58" i="21"/>
  <c r="H476" i="21"/>
  <c r="F1502" i="22"/>
  <c r="G96" i="18"/>
  <c r="H58" i="13"/>
  <c r="F96" i="13"/>
  <c r="H1464" i="22"/>
  <c r="H1160" i="22"/>
  <c r="G1616" i="22"/>
  <c r="I210" i="22"/>
  <c r="H172" i="21"/>
  <c r="J400" i="21"/>
  <c r="I1198" i="22"/>
  <c r="F20" i="13"/>
  <c r="J20" i="22"/>
  <c r="J1692" i="22"/>
  <c r="G476" i="14"/>
  <c r="H96" i="21"/>
  <c r="F58" i="15"/>
  <c r="I58" i="13"/>
  <c r="H286" i="15"/>
  <c r="I590" i="21"/>
  <c r="H514" i="21"/>
  <c r="I704" i="21"/>
  <c r="F20" i="15"/>
  <c r="F1464" i="21"/>
  <c r="G1274" i="21"/>
  <c r="F1046" i="21"/>
  <c r="G58" i="14"/>
  <c r="G1198" i="22"/>
  <c r="I932" i="21"/>
  <c r="J590" i="14"/>
  <c r="I476" i="21"/>
  <c r="F1274" i="22"/>
  <c r="I248" i="15"/>
  <c r="I666" i="22"/>
  <c r="I58" i="18"/>
  <c r="G324" i="22"/>
  <c r="F1388" i="21"/>
  <c r="I894" i="21"/>
  <c r="G894" i="22"/>
  <c r="F172" i="21"/>
  <c r="I742" i="21"/>
  <c r="F818" i="21"/>
  <c r="J1198" i="21"/>
  <c r="J134" i="5"/>
  <c r="H286" i="21"/>
  <c r="G818" i="22"/>
  <c r="I96" i="5"/>
  <c r="G1806" i="22"/>
  <c r="H438"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<sst xmlns="http://schemas.openxmlformats.org/spreadsheetml/2006/main" count="2735" uniqueCount="501">
  <si>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</si>
  <si>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</si>
  <si>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</si>
  <si>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</si>
  <si>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</si>
  <si>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</si>
  <si>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</si>
  <si>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</si>
  <si>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</si>
  <si>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</si>
  <si>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</si>
  <si>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</si>
  <si>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</si>
  <si>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</si>
  <si>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</si>
  <si>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</si>
  <si>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</si>
  <si>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</si>
  <si>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</si>
  <si>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</si>
  <si>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</si>
  <si>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</si>
  <si>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</si>
  <si>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</si>
  <si>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</si>
  <si>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</si>
  <si>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</si>
  <si>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</si>
  <si>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</si>
  <si>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</si>
  <si>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</si>
  <si>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</si>
  <si>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</si>
  <si>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</si>
  <si>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</si>
  <si>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</si>
  <si>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</si>
  <si>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</si>
  <si>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</si>
  <si>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</si>
  <si>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</si>
  <si>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</si>
  <si>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</si>
  <si>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</si>
  <si>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</si>
  <si>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</si>
  <si>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</si>
  <si>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</si>
  <si>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</si>
  <si>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</si>
  <si>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</si>
  <si>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</si>
  <si>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</si>
  <si>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</si>
  <si>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</si>
  <si>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</si>
  <si>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</si>
  <si>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</si>
  <si>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</si>
  <si>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</si>
  <si>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</si>
  <si>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</si>
  <si>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</si>
  <si>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</si>
  <si>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</si>
  <si>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</si>
  <si>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</si>
  <si>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</si>
  <si>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</si>
  <si>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</si>
  <si>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</si>
  <si>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</si>
  <si>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</si>
  <si>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</si>
  <si>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</si>
  <si>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</si>
  <si>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</si>
  <si>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</si>
  <si>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</si>
  <si>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</si>
  <si>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</si>
  <si>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</si>
  <si>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</si>
  <si>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</si>
  <si>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</si>
  <si>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</si>
  <si>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</si>
  <si>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</si>
  <si>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</si>
  <si>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</si>
  <si>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</si>
  <si>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</si>
  <si>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</si>
  <si>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</si>
  <si>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</si>
  <si>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</si>
  <si>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</si>
  <si>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</si>
  <si>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</si>
  <si>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</si>
  <si>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</si>
  <si>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</si>
  <si>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</si>
  <si>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</si>
  <si>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</si>
  <si>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</si>
  <si>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</si>
  <si>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</si>
  <si>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</si>
  <si>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</si>
  <si>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</si>
  <si>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</si>
  <si>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</si>
  <si>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</si>
  <si>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</si>
  <si>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</si>
  <si>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</si>
  <si>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</si>
  <si>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</si>
  <si>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</si>
  <si>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</si>
  <si>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</si>
  <si>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</si>
  <si>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</si>
  <si>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</si>
  <si>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</si>
  <si>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</si>
  <si>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</si>
  <si>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</si>
  <si>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</si>
  <si>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</si>
  <si>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</si>
  <si>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</si>
  <si>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</si>
  <si>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</si>
  <si>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</si>
  <si>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</si>
  <si>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</si>
  <si>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</si>
  <si>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</si>
  <si>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</si>
  <si>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</si>
  <si>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</si>
  <si>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</si>
  <si>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</si>
  <si>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</si>
  <si>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</si>
  <si>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</si>
  <si>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</si>
  <si>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</si>
  <si>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</si>
  <si>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</si>
  <si>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</si>
  <si>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</si>
  <si>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</si>
  <si>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</si>
  <si>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</si>
  <si>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</si>
  <si>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</si>
  <si>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</si>
  <si>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</si>
  <si>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</si>
  <si>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</si>
  <si>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</si>
  <si>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</si>
  <si>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</si>
  <si>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</si>
  <si>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</si>
  <si>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</si>
  <si>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</si>
  <si>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</si>
  <si>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</si>
  <si>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</si>
  <si>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</si>
  <si>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</si>
  <si>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</si>
  <si>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</si>
  <si>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</si>
  <si>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</si>
  <si>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</si>
  <si>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</si>
  <si>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</si>
  <si>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</si>
  <si>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</si>
  <si>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</si>
  <si>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</si>
  <si>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</si>
  <si>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</si>
  <si>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</si>
  <si>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</si>
  <si>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</si>
  <si>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</si>
  <si>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</si>
  <si>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</si>
  <si>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</si>
  <si>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</si>
  <si>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</si>
  <si>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</si>
  <si>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</si>
  <si>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</si>
  <si>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</si>
  <si>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</si>
  <si>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</si>
  <si>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</si>
  <si>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</si>
  <si>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</si>
  <si>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</si>
  <si>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</si>
  <si>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</si>
  <si>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</si>
  <si>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</si>
  <si>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</si>
  <si>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</si>
  <si>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</si>
  <si>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</si>
  <si>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</si>
  <si>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</si>
  <si>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</si>
  <si>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</si>
  <si>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</si>
  <si>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</si>
  <si>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</si>
  <si>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</si>
  <si>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</si>
  <si>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</si>
  <si>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</si>
  <si>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</si>
  <si>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</si>
  <si>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</si>
  <si>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</si>
  <si>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</si>
  <si>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</si>
  <si>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</si>
  <si>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</si>
  <si>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</si>
  <si>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</si>
  <si>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</si>
  <si>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</si>
  <si>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</si>
  <si>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</si>
  <si>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</si>
  <si>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</si>
  <si>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</si>
  <si>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</si>
  <si>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</si>
  <si>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</si>
  <si>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</si>
  <si>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</si>
  <si>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</si>
  <si>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</si>
  <si>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</si>
  <si>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</si>
  <si>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</si>
  <si>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</si>
  <si>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</si>
  <si>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</si>
  <si>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</si>
  <si>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</si>
  <si>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</si>
  <si>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</si>
  <si>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</si>
  <si>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</si>
  <si>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</si>
  <si>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</si>
  <si>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</si>
  <si>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</si>
  <si>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</si>
  <si>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</si>
  <si>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</si>
  <si>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</si>
  <si>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</si>
  <si>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</si>
  <si>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</si>
  <si>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</si>
  <si>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</si>
  <si>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</si>
  <si>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</si>
  <si>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</si>
  <si>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</si>
  <si>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</si>
  <si>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</si>
  <si>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</si>
  <si>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</si>
  <si>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</si>
  <si>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</si>
  <si>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</si>
  <si>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</si>
  <si>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</si>
  <si>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</si>
  <si>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</si>
  <si>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</si>
  <si>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</si>
  <si>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</si>
  <si>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</si>
  <si>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</si>
  <si>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</si>
  <si>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</si>
  <si>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</si>
  <si>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</si>
  <si>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</si>
  <si>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</si>
  <si>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</si>
  <si>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</si>
  <si>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</si>
  <si>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</si>
  <si>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</si>
  <si>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</si>
  <si>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</si>
  <si>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</si>
  <si>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</si>
  <si>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</si>
  <si>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</si>
  <si>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</si>
  <si>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</si>
  <si>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</si>
  <si>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</si>
  <si>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</si>
  <si>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</si>
  <si>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</si>
  <si>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</si>
  <si>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</si>
  <si>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</si>
  <si>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</si>
  <si>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</si>
  <si>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</si>
  <si>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</si>
  <si>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</si>
  <si>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</si>
  <si>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</si>
  <si>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</si>
  <si>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</si>
  <si>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</si>
  <si>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</si>
  <si>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</si>
  <si>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</si>
  <si>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</si>
  <si>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</si>
  <si>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</si>
  <si>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</si>
  <si>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</si>
  <si>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</si>
  <si>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</si>
  <si>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</si>
  <si>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</si>
  <si>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</si>
  <si>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</si>
  <si>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</si>
  <si>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</si>
  <si>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</si>
  <si>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</si>
  <si>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</si>
  <si>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</si>
  <si>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</si>
  <si>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</si>
  <si>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</si>
  <si>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</si>
  <si>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</si>
  <si>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</si>
  <si>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</si>
  <si>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</si>
  <si>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</si>
  <si>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</si>
  <si>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</si>
  <si>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</si>
  <si>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</si>
  <si>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</si>
  <si>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</si>
  <si>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</si>
  <si>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</si>
  <si>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</si>
  <si>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</si>
  <si>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</si>
  <si>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</si>
  <si>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</si>
  <si>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</si>
  <si>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</si>
  <si>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</si>
  <si>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</si>
  <si>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</si>
  <si>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</si>
  <si>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</si>
  <si>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</si>
  <si>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</si>
  <si>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</si>
  <si>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</si>
  <si>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</si>
  <si>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</si>
  <si>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</si>
  <si>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</si>
  <si>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</si>
  <si>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</si>
  <si>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</si>
  <si>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</si>
  <si>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</si>
  <si>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</si>
  <si>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</si>
  <si>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</si>
  <si>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</si>
  <si>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</si>
  <si>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</si>
  <si>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</si>
  <si>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</si>
  <si>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</si>
  <si>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</si>
  <si>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</si>
  <si>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</si>
  <si>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</si>
  <si>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</si>
  <si>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</si>
  <si>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</si>
  <si>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</si>
  <si>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</si>
  <si>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</si>
  <si>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</si>
  <si>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</si>
  <si>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</si>
  <si>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</si>
  <si>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</si>
  <si>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</si>
  <si>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</si>
  <si>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</si>
  <si>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</si>
  <si>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</si>
  <si>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</si>
  <si>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</si>
  <si>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</si>
  <si>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</si>
  <si>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</si>
  <si>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</si>
  <si>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</si>
  <si>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</si>
  <si>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</si>
  <si>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</si>
  <si>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</si>
  <si>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</si>
  <si>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</si>
  <si>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</si>
  <si>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</si>
  <si>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</si>
  <si>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</si>
  <si>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</si>
  <si>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</si>
  <si>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</si>
  <si>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</si>
  <si>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</si>
  <si>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</si>
  <si>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</si>
  <si>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</si>
  <si>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</si>
  <si>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</si>
  <si>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</si>
  <si>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</si>
  <si>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</si>
  <si>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</si>
  <si>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</si>
  <si>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</si>
  <si>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</si>
  <si>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</si>
  <si>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</si>
  <si>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</si>
  <si>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</si>
  <si>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</si>
  <si>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</si>
  <si>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</si>
  <si>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</si>
  <si>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</si>
  <si>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</si>
  <si>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</si>
  <si>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</si>
  <si>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</si>
  <si>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</si>
  <si>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</si>
  <si>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</si>
  <si>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</si>
  <si>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</si>
  <si>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</si>
  <si>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</si>
  <si>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</si>
  <si>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</si>
  <si>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</si>
  <si>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</si>
  <si>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</si>
  <si>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https://www.comunidad.madrid/pjus_sede/</t>
  </si>
  <si>
    <t>Se revisa la accesobilidad de la sede judicial Electrónico de la comunidad de Madrid</t>
  </si>
  <si>
    <t>Sede judicial Electrónico de la comunidad de Madrid</t>
  </si>
  <si>
    <t>Inicio</t>
  </si>
  <si>
    <t>Página Web</t>
  </si>
  <si>
    <t>https://www.comunidad.madrid/pjus_sede/node/35</t>
  </si>
  <si>
    <t>Inicio -  Accesibilidad</t>
  </si>
  <si>
    <t>Accesibilidad</t>
  </si>
  <si>
    <t>Conozca la sede</t>
  </si>
  <si>
    <t>Inicio - Conozca la sede</t>
  </si>
  <si>
    <t>Inicio - Trámites y servicios</t>
  </si>
  <si>
    <t>Inicio - Ayuda</t>
  </si>
  <si>
    <t>https://www.comunidad.madrid/pjus_sede/tramitesyservicios</t>
  </si>
  <si>
    <t>https://www.comunidad.madrid/pjus_sede/ayuda</t>
  </si>
  <si>
    <t>Resultados de búsqueda</t>
  </si>
  <si>
    <t>https://www.comunidad.madrid/pjus_sede/search/node/sugerencias</t>
  </si>
  <si>
    <t>Inicio - Buscar: "Sugerencias"</t>
  </si>
  <si>
    <t>https://www.comunidad.madrid/pjus_sede/conozcalasede</t>
  </si>
  <si>
    <t>Tramites y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</si>
</sst>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15" zoomScale="70" zoomScaleNormal="70" workbookViewId="0">
      <selection activeCell="D209" sqref="D209:D214"/>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241</v>
      </c>
      <c r="C8" s="231"/>
      <c r="D8" s="231"/>
      <c r="E8" s="231"/>
      <c r="F8" s="231"/>
      <c r="G8" s="231"/>
      <c r="H8" s="231"/>
      <c r="I8" s="231"/>
      <c r="J8" s="231"/>
      <c r="K8" s="231"/>
      <c r="L8" s="231"/>
      <c r="M8" s="231"/>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COUNTIF($B$18:$B$243,B12)</f>
        <v>6</v>
      </c>
      <c r="D12" s="26"/>
      <c r="E12" s="14"/>
      <c r="F12" s="199" t="s">
        <v>94</v>
      </c>
      <c r="G12" s="72">
        <f ca="1">J20+J58+J96+J134+J172+J210</f>
        <v>0</v>
      </c>
      <c r="H12" s="42">
        <f ca="1">IF(($G$15+$K$15)=0,0,G12/($G$15+$K$15))</f>
        <v>0</v>
      </c>
      <c r="I12" s="26"/>
      <c r="J12" s="183" t="s">
        <v>95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f>
        <v>0</v>
      </c>
      <c r="H13" s="42">
        <f ca="1">IF(($G$15+$K$15)=0,0,G13/($G$15+$K$15))</f>
        <v>0</v>
      </c>
      <c r="I13" s="26"/>
      <c r="J13" s="183" t="s">
        <v>97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98</v>
      </c>
      <c r="C14" s="201">
        <f>C12+C13</f>
        <v>6</v>
      </c>
      <c r="D14" s="26"/>
      <c r="E14" s="14"/>
      <c r="F14" s="199" t="s">
        <v>99</v>
      </c>
      <c r="G14" s="72">
        <f ca="1">H20+H58+H96+H134+H172+H210</f>
        <v>36</v>
      </c>
      <c r="H14" s="42">
        <f ca="1">IF(($G$15+$K$15)=0,0,G14/($G$15+$K$15))</f>
        <v>1</v>
      </c>
      <c r="I14" s="26"/>
      <c r="J14" s="183" t="s">
        <v>100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36</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101</v>
      </c>
      <c r="B18" s="23" t="s">
        <v>93</v>
      </c>
      <c r="C18" s="24" t="s">
        <v>242</v>
      </c>
      <c r="D18" s="25" t="s">
        <v>103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https://www.comunidad.madrid/pjus_sede/</v>
      </c>
      <c r="D19" s="99" t="s">
        <v>106</v>
      </c>
      <c r="E19" s="79" t="str">
        <f t="shared" ref="E19:E53" si="0">IF(D19&lt;&gt;"",IF(AND(B19&lt;&gt;"",C19&lt;&gt;""),"","ERR"),"")</f>
        <v/>
      </c>
      <c r="F19" s="86" t="s">
        <v>104</v>
      </c>
      <c r="G19" s="87" t="s">
        <v>105</v>
      </c>
      <c r="H19" s="88" t="s">
        <v>106</v>
      </c>
      <c r="I19" s="89" t="s">
        <v>96</v>
      </c>
      <c r="J19" s="90" t="s">
        <v>94</v>
      </c>
      <c r="K19" s="179" t="s">
        <v>100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https://www.comunidad.madrid/pjus_sede/node/35</v>
      </c>
      <c r="D20" s="99" t="s">
        <v>106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Conozca la sede</v>
      </c>
      <c r="C21" s="85" t="str" cm="1">
        <f t="array" ref="C21">IFERROR(INDEX('03.Muestra'!$F$8:$F$42,SMALL(IF("Página Web"='03.Muestra'!$D$8:$D$42,ROW('03.Muestra'!$F$8:$F$42)-MIN(ROW('03.Muestra'!$D$8:$D$42))+1,""),ROW()-18)),"")</f>
        <v>https://www.comunidad.madrid/pjus_sede/conozcalasede</v>
      </c>
      <c r="D21" s="99" t="s">
        <v>106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Tramites y servicios</v>
      </c>
      <c r="C22" s="85" t="str" cm="1">
        <f t="array" ref="C22">IFERROR(INDEX('03.Muestra'!$F$8:$F$42,SMALL(IF("Página Web"='03.Muestra'!$D$8:$D$42,ROW('03.Muestra'!$F$8:$F$42)-MIN(ROW('03.Muestra'!$D$8:$D$42))+1,""),ROW()-18)),"")</f>
        <v>https://www.comunidad.madrid/pjus_sede/tramitesyservicios</v>
      </c>
      <c r="D22" s="99" t="s">
        <v>106</v>
      </c>
      <c r="E22" s="79" t="str">
        <f t="shared" si="0"/>
        <v/>
      </c>
      <c r="G22" s="18"/>
      <c r="H22" s="18"/>
      <c r="I22" s="18"/>
      <c r="J22" s="18"/>
      <c r="K22" s="170" t="s">
        <v>104</v>
      </c>
      <c r="L22" s="92" t="s">
        <v>107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Ayuda</v>
      </c>
      <c r="C23" s="85" t="str" cm="1">
        <f t="array" ref="C23">IFERROR(INDEX('03.Muestra'!$F$8:$F$42,SMALL(IF("Página Web"='03.Muestra'!$D$8:$D$42,ROW('03.Muestra'!$F$8:$F$42)-MIN(ROW('03.Muestra'!$D$8:$D$42))+1,""),ROW()-18)),"")</f>
        <v>https://www.comunidad.madrid/pjus_sede/ayuda</v>
      </c>
      <c r="D23" s="99" t="s">
        <v>106</v>
      </c>
      <c r="E23" s="79" t="str">
        <f t="shared" si="0"/>
        <v/>
      </c>
      <c r="G23" s="18"/>
      <c r="H23" s="18"/>
      <c r="I23" s="18"/>
      <c r="J23" s="18"/>
      <c r="K23" s="88" t="s">
        <v>106</v>
      </c>
      <c r="L23" s="92" t="s">
        <v>108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Resultados de búsqueda</v>
      </c>
      <c r="C24" s="85" t="str" cm="1">
        <f t="array" ref="C24">IFERROR(INDEX('03.Muestra'!$F$8:$F$42,SMALL(IF("Página Web"='03.Muestra'!$D$8:$D$42,ROW('03.Muestra'!$F$8:$F$42)-MIN(ROW('03.Muestra'!$D$8:$D$42))+1,""),ROW()-18)),"")</f>
        <v>https://www.comunidad.madrid/pjus_sede/search/node/sugerencias</v>
      </c>
      <c r="D24" s="99" t="s">
        <v>106</v>
      </c>
      <c r="E24" s="79" t="str">
        <f t="shared" si="0"/>
        <v/>
      </c>
      <c r="G24" s="18"/>
      <c r="H24" s="18"/>
      <c r="I24" s="18"/>
      <c r="J24" s="18"/>
      <c r="K24" s="87" t="s">
        <v>105</v>
      </c>
      <c r="L24" s="92" t="s">
        <v>109</v>
      </c>
    </row>
    <row r="25" spans="1:13" ht="12" customHeight="1">
      <c r="A25" s="39" t="str" cm="1">
        <f t="array" ref="A25">IFERROR(INDEX('03.Muestra'!$B$8:$B$42,SMALL(IF("Página Web"='03.Muestra'!$D$8:$D$42,ROW('03.Muestra'!$B$8:$B$42)-MIN(ROW('03.Muestra'!$D$8:$D$42))+1,""),ROW()-18)),"")</f>
        <v/>
      </c>
      <c r="B25" s="85" t="str" cm="1">
        <f t="array" ref="B25">IFERROR(INDEX('03.Muestra'!$C$8:$C$42,SMALL(IF("Página Web"='03.Muestra'!$D$8:$D$42,ROW('03.Muestra'!$C$8:$C$42)-MIN(ROW('03.Muestra'!$D$8:$D$42))+1,""),ROW()-18)),"")</f>
        <v/>
      </c>
      <c r="C25" s="85"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row>
    <row r="26" spans="1:13"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si="1"/>
        <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101</v>
      </c>
      <c r="B56" s="23" t="s">
        <v>93</v>
      </c>
      <c r="C56" s="24" t="s">
        <v>243</v>
      </c>
      <c r="D56" s="25" t="s">
        <v>103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https://www.comunidad.madrid/pjus_sede/</v>
      </c>
      <c r="D57" s="99" t="s">
        <v>106</v>
      </c>
      <c r="E57" s="79" t="str">
        <f t="shared" ref="E57:E91" si="2">IF(D57&lt;&gt;"",IF(AND(B57&lt;&gt;"",C57&lt;&gt;""),"","ERR"),"")</f>
        <v/>
      </c>
      <c r="F57" s="86" t="s">
        <v>104</v>
      </c>
      <c r="G57" s="87" t="s">
        <v>105</v>
      </c>
      <c r="H57" s="88" t="s">
        <v>106</v>
      </c>
      <c r="I57" s="89" t="s">
        <v>96</v>
      </c>
      <c r="J57" s="90" t="s">
        <v>94</v>
      </c>
      <c r="K57" s="179" t="s">
        <v>100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https://www.comunidad.madrid/pjus_sede/node/35</v>
      </c>
      <c r="D58" s="99" t="s">
        <v>106</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Conozca la sede</v>
      </c>
      <c r="C59" s="85" t="str" cm="1">
        <f t="array" ref="C59">IFERROR(INDEX('03.Muestra'!$F$8:$F$42,SMALL(IF("Página Web"='03.Muestra'!$D$8:$D$42,ROW('03.Muestra'!$F$8:$F$42)-MIN(ROW('03.Muestra'!$D$8:$D$42))+1,""),ROW()-56)),"")</f>
        <v>https://www.comunidad.madrid/pjus_sede/conozcalasede</v>
      </c>
      <c r="D59" s="99" t="s">
        <v>106</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Tramites y servicios</v>
      </c>
      <c r="C60" s="85" t="str" cm="1">
        <f t="array" ref="C60">IFERROR(INDEX('03.Muestra'!$F$8:$F$42,SMALL(IF("Página Web"='03.Muestra'!$D$8:$D$42,ROW('03.Muestra'!$F$8:$F$42)-MIN(ROW('03.Muestra'!$D$8:$D$42))+1,""),ROW()-56)),"")</f>
        <v>https://www.comunidad.madrid/pjus_sede/tramitesyservicios</v>
      </c>
      <c r="D60" s="99" t="s">
        <v>106</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Ayuda</v>
      </c>
      <c r="C61" s="85" t="str" cm="1">
        <f t="array" ref="C61">IFERROR(INDEX('03.Muestra'!$F$8:$F$42,SMALL(IF("Página Web"='03.Muestra'!$D$8:$D$42,ROW('03.Muestra'!$F$8:$F$42)-MIN(ROW('03.Muestra'!$D$8:$D$42))+1,""),ROW()-56)),"")</f>
        <v>https://www.comunidad.madrid/pjus_sede/ayuda</v>
      </c>
      <c r="D61" s="99" t="s">
        <v>106</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Resultados de búsqueda</v>
      </c>
      <c r="C62" s="85" t="str" cm="1">
        <f t="array" ref="C62">IFERROR(INDEX('03.Muestra'!$F$8:$F$42,SMALL(IF("Página Web"='03.Muestra'!$D$8:$D$42,ROW('03.Muestra'!$F$8:$F$42)-MIN(ROW('03.Muestra'!$D$8:$D$42))+1,""),ROW()-56)),"")</f>
        <v>https://www.comunidad.madrid/pjus_sede/search/node/sugerencias</v>
      </c>
      <c r="D62" s="99" t="s">
        <v>106</v>
      </c>
      <c r="E62" s="79" t="str">
        <f t="shared" si="2"/>
        <v/>
      </c>
      <c r="G62" s="18"/>
      <c r="H62" s="18"/>
      <c r="I62" s="18"/>
      <c r="J62" s="18"/>
      <c r="K62" s="184"/>
    </row>
    <row r="63" spans="1:11" ht="12" customHeight="1">
      <c r="A63" s="39" t="str" cm="1">
        <f t="array" ref="A63">IFERROR(INDEX('03.Muestra'!$B$8:$B$42,SMALL(IF("Página Web"='03.Muestra'!$D$8:$D$42,ROW('03.Muestra'!$B$8:$B$42)-MIN(ROW('03.Muestra'!$D$8:$D$42))+1,""),ROW()-56)),"")</f>
        <v/>
      </c>
      <c r="B63" s="85" t="str" cm="1">
        <f t="array" ref="B63">IFERROR(INDEX('03.Muestra'!$C$8:$C$42,SMALL(IF("Página Web"='03.Muestra'!$D$8:$D$42,ROW('03.Muestra'!$C$8:$C$42)-MIN(ROW('03.Muestra'!$D$8:$D$42))+1,""),ROW()-56)),"")</f>
        <v/>
      </c>
      <c r="C63" s="8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84"/>
    </row>
    <row r="64" spans="1:11"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si="3"/>
        <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101</v>
      </c>
      <c r="B94" s="23" t="s">
        <v>93</v>
      </c>
      <c r="C94" s="24" t="s">
        <v>244</v>
      </c>
      <c r="D94" s="25" t="s">
        <v>103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https://www.comunidad.madrid/pjus_sede/</v>
      </c>
      <c r="D95" s="99" t="s">
        <v>106</v>
      </c>
      <c r="E95" s="79" t="str">
        <f t="shared" ref="E95:E129" si="4">IF(D95&lt;&gt;"",IF(AND(B95&lt;&gt;"",C95&lt;&gt;""),"","ERR"),"")</f>
        <v/>
      </c>
      <c r="F95" s="86" t="s">
        <v>104</v>
      </c>
      <c r="G95" s="87" t="s">
        <v>105</v>
      </c>
      <c r="H95" s="88" t="s">
        <v>106</v>
      </c>
      <c r="I95" s="89" t="s">
        <v>96</v>
      </c>
      <c r="J95" s="90" t="s">
        <v>94</v>
      </c>
      <c r="K95" s="179" t="s">
        <v>100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https://www.comunidad.madrid/pjus_sede/node/35</v>
      </c>
      <c r="D96" s="99" t="s">
        <v>106</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Conozca la sede</v>
      </c>
      <c r="C97" s="85" t="str" cm="1">
        <f t="array" ref="C97">IFERROR(INDEX('03.Muestra'!$F$8:$F$42,SMALL(IF("Página Web"='03.Muestra'!$D$8:$D$42,ROW('03.Muestra'!$F$8:$F$42)-MIN(ROW('03.Muestra'!$D$8:$D$42))+1,""),ROW()-94)),"")</f>
        <v>https://www.comunidad.madrid/pjus_sede/conozcalasede</v>
      </c>
      <c r="D97" s="99" t="s">
        <v>106</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Tramites y servicios</v>
      </c>
      <c r="C98" s="85" t="str" cm="1">
        <f t="array" ref="C98">IFERROR(INDEX('03.Muestra'!$F$8:$F$42,SMALL(IF("Página Web"='03.Muestra'!$D$8:$D$42,ROW('03.Muestra'!$F$8:$F$42)-MIN(ROW('03.Muestra'!$D$8:$D$42))+1,""),ROW()-94)),"")</f>
        <v>https://www.comunidad.madrid/pjus_sede/tramitesyservicios</v>
      </c>
      <c r="D98" s="99" t="s">
        <v>106</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Ayuda</v>
      </c>
      <c r="C99" s="85" t="str" cm="1">
        <f t="array" ref="C99">IFERROR(INDEX('03.Muestra'!$F$8:$F$42,SMALL(IF("Página Web"='03.Muestra'!$D$8:$D$42,ROW('03.Muestra'!$F$8:$F$42)-MIN(ROW('03.Muestra'!$D$8:$D$42))+1,""),ROW()-94)),"")</f>
        <v>https://www.comunidad.madrid/pjus_sede/ayuda</v>
      </c>
      <c r="D99" s="99" t="s">
        <v>106</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Resultados de búsqueda</v>
      </c>
      <c r="C100" s="85" t="str" cm="1">
        <f t="array" ref="C100">IFERROR(INDEX('03.Muestra'!$F$8:$F$42,SMALL(IF("Página Web"='03.Muestra'!$D$8:$D$42,ROW('03.Muestra'!$F$8:$F$42)-MIN(ROW('03.Muestra'!$D$8:$D$42))+1,""),ROW()-94)),"")</f>
        <v>https://www.comunidad.madrid/pjus_sede/search/node/sugerencias</v>
      </c>
      <c r="D100" s="99" t="s">
        <v>106</v>
      </c>
      <c r="E100" s="79" t="str">
        <f t="shared" si="4"/>
        <v/>
      </c>
      <c r="G100" s="18"/>
      <c r="H100" s="18"/>
      <c r="I100" s="18"/>
      <c r="J100" s="18"/>
      <c r="K100" s="184"/>
    </row>
    <row r="101" spans="1:11" ht="12" customHeight="1">
      <c r="A101" s="39" t="str" cm="1">
        <f t="array" ref="A101">IFERROR(INDEX('03.Muestra'!$B$8:$B$42,SMALL(IF("Página Web"='03.Muestra'!$D$8:$D$42,ROW('03.Muestra'!$B$8:$B$42)-MIN(ROW('03.Muestra'!$D$8:$D$42))+1,""),ROW()-94)),"")</f>
        <v/>
      </c>
      <c r="B101" s="85" t="str" cm="1">
        <f t="array" ref="B101">IFERROR(INDEX('03.Muestra'!$C$8:$C$42,SMALL(IF("Página Web"='03.Muestra'!$D$8:$D$42,ROW('03.Muestra'!$C$8:$C$42)-MIN(ROW('03.Muestra'!$D$8:$D$42))+1,""),ROW()-94)),"")</f>
        <v/>
      </c>
      <c r="C101" s="8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84"/>
    </row>
    <row r="102" spans="1:11"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si="5"/>
        <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101</v>
      </c>
      <c r="B132" s="23" t="s">
        <v>93</v>
      </c>
      <c r="C132" s="24" t="s">
        <v>245</v>
      </c>
      <c r="D132" s="25" t="s">
        <v>103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https://www.comunidad.madrid/pjus_sede/</v>
      </c>
      <c r="D133" s="99" t="s">
        <v>106</v>
      </c>
      <c r="E133" s="79" t="str">
        <f t="shared" ref="E133:E167" si="6">IF(D133&lt;&gt;"",IF(AND(B133&lt;&gt;"",C133&lt;&gt;""),"","ERR"),"")</f>
        <v/>
      </c>
      <c r="F133" s="86" t="s">
        <v>104</v>
      </c>
      <c r="G133" s="87" t="s">
        <v>105</v>
      </c>
      <c r="H133" s="88" t="s">
        <v>106</v>
      </c>
      <c r="I133" s="89" t="s">
        <v>96</v>
      </c>
      <c r="J133" s="90" t="s">
        <v>94</v>
      </c>
      <c r="K133" s="179" t="s">
        <v>100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https://www.comunidad.madrid/pjus_sede/node/35</v>
      </c>
      <c r="D134" s="99" t="s">
        <v>106</v>
      </c>
      <c r="E134" s="79" t="str">
        <f t="shared" si="6"/>
        <v/>
      </c>
      <c r="F134" s="91">
        <f ca="1">COUNTIF($D133:INDIRECT("$D" &amp;  SUM(ROW()-1,'03.Muestra'!$D$45)-1),F133)</f>
        <v>0</v>
      </c>
      <c r="G134" s="91">
        <f ca="1">COUNTIF($D133:INDIRECT("$D" &amp;  SUM(ROW()-1,'03.Muestra'!$D$45)-1),G133)</f>
        <v>0</v>
      </c>
      <c r="H134" s="91">
        <f ca="1">COUNTIF($D133:INDIRECT("$D" &amp;  SUM(ROW()-1,'03.Muestra'!$D$45)-1),H133)</f>
        <v>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Conozca la sede</v>
      </c>
      <c r="C135" s="85" t="str" cm="1">
        <f t="array" ref="C135">IFERROR(INDEX('03.Muestra'!$F$8:$F$42,SMALL(IF("Página Web"='03.Muestra'!$D$8:$D$42,ROW('03.Muestra'!$F$8:$F$42)-MIN(ROW('03.Muestra'!$D$8:$D$42))+1,""),ROW()-132)),"")</f>
        <v>https://www.comunidad.madrid/pjus_sede/conozcalasede</v>
      </c>
      <c r="D135" s="99" t="s">
        <v>106</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Tramites y servicios</v>
      </c>
      <c r="C136" s="85" t="str" cm="1">
        <f t="array" ref="C136">IFERROR(INDEX('03.Muestra'!$F$8:$F$42,SMALL(IF("Página Web"='03.Muestra'!$D$8:$D$42,ROW('03.Muestra'!$F$8:$F$42)-MIN(ROW('03.Muestra'!$D$8:$D$42))+1,""),ROW()-132)),"")</f>
        <v>https://www.comunidad.madrid/pjus_sede/tramitesyservicios</v>
      </c>
      <c r="D136" s="99" t="s">
        <v>106</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Ayuda</v>
      </c>
      <c r="C137" s="85" t="str" cm="1">
        <f t="array" ref="C137">IFERROR(INDEX('03.Muestra'!$F$8:$F$42,SMALL(IF("Página Web"='03.Muestra'!$D$8:$D$42,ROW('03.Muestra'!$F$8:$F$42)-MIN(ROW('03.Muestra'!$D$8:$D$42))+1,""),ROW()-132)),"")</f>
        <v>https://www.comunidad.madrid/pjus_sede/ayuda</v>
      </c>
      <c r="D137" s="99" t="s">
        <v>106</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Resultados de búsqueda</v>
      </c>
      <c r="C138" s="85" t="str" cm="1">
        <f t="array" ref="C138">IFERROR(INDEX('03.Muestra'!$F$8:$F$42,SMALL(IF("Página Web"='03.Muestra'!$D$8:$D$42,ROW('03.Muestra'!$F$8:$F$42)-MIN(ROW('03.Muestra'!$D$8:$D$42))+1,""),ROW()-132)),"")</f>
        <v>https://www.comunidad.madrid/pjus_sede/search/node/sugerencias</v>
      </c>
      <c r="D138" s="99" t="s">
        <v>106</v>
      </c>
      <c r="E138" s="79" t="str">
        <f t="shared" si="6"/>
        <v/>
      </c>
      <c r="G138" s="18"/>
      <c r="H138" s="18"/>
      <c r="I138" s="18"/>
      <c r="J138" s="18"/>
      <c r="K138" s="184"/>
    </row>
    <row r="139" spans="1:11" ht="12" customHeight="1">
      <c r="A139" s="39" t="str" cm="1">
        <f t="array" ref="A139">IFERROR(INDEX('03.Muestra'!$B$8:$B$42,SMALL(IF("Página Web"='03.Muestra'!$D$8:$D$42,ROW('03.Muestra'!$B$8:$B$42)-MIN(ROW('03.Muestra'!$D$8:$D$42))+1,""),ROW()-132)),"")</f>
        <v/>
      </c>
      <c r="B139" s="85" t="str" cm="1">
        <f t="array" ref="B139">IFERROR(INDEX('03.Muestra'!$C$8:$C$42,SMALL(IF("Página Web"='03.Muestra'!$D$8:$D$42,ROW('03.Muestra'!$C$8:$C$42)-MIN(ROW('03.Muestra'!$D$8:$D$42))+1,""),ROW()-132)),"")</f>
        <v/>
      </c>
      <c r="C139" s="85" t="str" cm="1">
        <f t="array" ref="C139">IFERROR(INDEX('03.Muestra'!$F$8:$F$42,SMALL(IF("Página Web"='03.Muestra'!$D$8:$D$42,ROW('03.Muestra'!$F$8:$F$42)-MIN(ROW('03.Muestra'!$D$8:$D$42))+1,""),ROW()-132)),"")</f>
        <v/>
      </c>
      <c r="D139" s="99" t="str">
        <f t="shared" ref="D139:D167" si="7">IF(AND(B139&lt;&gt;"",C139&lt;&gt;""),"N/T","")</f>
        <v/>
      </c>
      <c r="E139" s="79" t="str">
        <f t="shared" si="6"/>
        <v/>
      </c>
      <c r="F139" s="18"/>
      <c r="G139" s="18"/>
      <c r="H139" s="18"/>
      <c r="I139" s="18"/>
      <c r="J139" s="18"/>
      <c r="K139" s="184"/>
    </row>
    <row r="140" spans="1:11"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si="7"/>
        <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101</v>
      </c>
      <c r="B170" s="23" t="s">
        <v>93</v>
      </c>
      <c r="C170" s="24" t="s">
        <v>246</v>
      </c>
      <c r="D170" s="25" t="s">
        <v>103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https://www.comunidad.madrid/pjus_sede/</v>
      </c>
      <c r="D171" s="99" t="s">
        <v>106</v>
      </c>
      <c r="E171" s="79" t="str">
        <f t="shared" ref="E171:E205" si="8">IF(D171&lt;&gt;"",IF(AND(B171&lt;&gt;"",C171&lt;&gt;""),"","ERR"),"")</f>
        <v/>
      </c>
      <c r="F171" s="86" t="s">
        <v>104</v>
      </c>
      <c r="G171" s="87" t="s">
        <v>105</v>
      </c>
      <c r="H171" s="88" t="s">
        <v>106</v>
      </c>
      <c r="I171" s="89" t="s">
        <v>96</v>
      </c>
      <c r="J171" s="90" t="s">
        <v>94</v>
      </c>
      <c r="K171" s="179" t="s">
        <v>100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https://www.comunidad.madrid/pjus_sede/node/35</v>
      </c>
      <c r="D172" s="99" t="s">
        <v>106</v>
      </c>
      <c r="E172" s="79" t="str">
        <f t="shared" si="8"/>
        <v/>
      </c>
      <c r="F172" s="91">
        <f ca="1">COUNTIF($D171:INDIRECT("$D" &amp;  SUM(ROW()-1,'03.Muestra'!$D$45)-1),F171)</f>
        <v>0</v>
      </c>
      <c r="G172" s="91">
        <f ca="1">COUNTIF($D171:INDIRECT("$D" &amp;  SUM(ROW()-1,'03.Muestra'!$D$45)-1),G171)</f>
        <v>0</v>
      </c>
      <c r="H172" s="91">
        <f ca="1">COUNTIF($D171:INDIRECT("$D" &amp;  SUM(ROW()-1,'03.Muestra'!$D$45)-1),H171)</f>
        <v>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Conozca la sede</v>
      </c>
      <c r="C173" s="85" t="str" cm="1">
        <f t="array" ref="C173">IFERROR(INDEX('03.Muestra'!$F$8:$F$42,SMALL(IF("Página Web"='03.Muestra'!$D$8:$D$42,ROW('03.Muestra'!$F$8:$F$42)-MIN(ROW('03.Muestra'!$D$8:$D$42))+1,""),ROW()-170)),"")</f>
        <v>https://www.comunidad.madrid/pjus_sede/conozcalasede</v>
      </c>
      <c r="D173" s="99" t="s">
        <v>106</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Tramites y servicios</v>
      </c>
      <c r="C174" s="85" t="str" cm="1">
        <f t="array" ref="C174">IFERROR(INDEX('03.Muestra'!$F$8:$F$42,SMALL(IF("Página Web"='03.Muestra'!$D$8:$D$42,ROW('03.Muestra'!$F$8:$F$42)-MIN(ROW('03.Muestra'!$D$8:$D$42))+1,""),ROW()-170)),"")</f>
        <v>https://www.comunidad.madrid/pjus_sede/tramitesyservicios</v>
      </c>
      <c r="D174" s="99" t="s">
        <v>106</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Ayuda</v>
      </c>
      <c r="C175" s="85" t="str" cm="1">
        <f t="array" ref="C175">IFERROR(INDEX('03.Muestra'!$F$8:$F$42,SMALL(IF("Página Web"='03.Muestra'!$D$8:$D$42,ROW('03.Muestra'!$F$8:$F$42)-MIN(ROW('03.Muestra'!$D$8:$D$42))+1,""),ROW()-170)),"")</f>
        <v>https://www.comunidad.madrid/pjus_sede/ayuda</v>
      </c>
      <c r="D175" s="99" t="s">
        <v>106</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Resultados de búsqueda</v>
      </c>
      <c r="C176" s="85" t="str" cm="1">
        <f t="array" ref="C176">IFERROR(INDEX('03.Muestra'!$F$8:$F$42,SMALL(IF("Página Web"='03.Muestra'!$D$8:$D$42,ROW('03.Muestra'!$F$8:$F$42)-MIN(ROW('03.Muestra'!$D$8:$D$42))+1,""),ROW()-170)),"")</f>
        <v>https://www.comunidad.madrid/pjus_sede/search/node/sugerencias</v>
      </c>
      <c r="D176" s="99" t="s">
        <v>106</v>
      </c>
      <c r="E176" s="79" t="str">
        <f t="shared" si="8"/>
        <v/>
      </c>
      <c r="G176" s="18"/>
      <c r="H176" s="18"/>
      <c r="I176" s="18"/>
      <c r="J176" s="18"/>
      <c r="K176" s="184"/>
    </row>
    <row r="177" spans="1:11" ht="12" customHeight="1">
      <c r="A177" s="39" t="str" cm="1">
        <f t="array" ref="A177">IFERROR(INDEX('03.Muestra'!$B$8:$B$42,SMALL(IF("Página Web"='03.Muestra'!$D$8:$D$42,ROW('03.Muestra'!$B$8:$B$42)-MIN(ROW('03.Muestra'!$D$8:$D$42))+1,""),ROW()-170)),"")</f>
        <v/>
      </c>
      <c r="B177" s="85" t="str" cm="1">
        <f t="array" ref="B177">IFERROR(INDEX('03.Muestra'!$C$8:$C$42,SMALL(IF("Página Web"='03.Muestra'!$D$8:$D$42,ROW('03.Muestra'!$C$8:$C$42)-MIN(ROW('03.Muestra'!$D$8:$D$42))+1,""),ROW()-170)),"")</f>
        <v/>
      </c>
      <c r="C177" s="85" t="str" cm="1">
        <f t="array" ref="C177">IFERROR(INDEX('03.Muestra'!$F$8:$F$42,SMALL(IF("Página Web"='03.Muestra'!$D$8:$D$42,ROW('03.Muestra'!$F$8:$F$42)-MIN(ROW('03.Muestra'!$D$8:$D$42))+1,""),ROW()-170)),"")</f>
        <v/>
      </c>
      <c r="D177" s="99" t="str">
        <f t="shared" ref="D177:D205" si="9">IF(AND(B177&lt;&gt;"",C177&lt;&gt;""),"N/T","")</f>
        <v/>
      </c>
      <c r="E177" s="79" t="str">
        <f t="shared" si="8"/>
        <v/>
      </c>
      <c r="F177" s="18"/>
      <c r="G177" s="18"/>
      <c r="H177" s="18"/>
      <c r="I177" s="18"/>
      <c r="J177" s="18"/>
      <c r="K177" s="184"/>
    </row>
    <row r="178" spans="1:11"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si="9"/>
        <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101</v>
      </c>
      <c r="B208" s="23" t="s">
        <v>93</v>
      </c>
      <c r="C208" s="24" t="s">
        <v>247</v>
      </c>
      <c r="D208" s="25" t="s">
        <v>103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https://www.comunidad.madrid/pjus_sede/</v>
      </c>
      <c r="D209" s="99" t="s">
        <v>106</v>
      </c>
      <c r="E209" s="79" t="str">
        <f t="shared" ref="E209:E243" si="10">IF(D209&lt;&gt;"",IF(AND(B209&lt;&gt;"",C209&lt;&gt;""),"","ERR"),"")</f>
        <v/>
      </c>
      <c r="F209" s="86" t="s">
        <v>104</v>
      </c>
      <c r="G209" s="87" t="s">
        <v>105</v>
      </c>
      <c r="H209" s="88" t="s">
        <v>106</v>
      </c>
      <c r="I209" s="89" t="s">
        <v>96</v>
      </c>
      <c r="J209" s="90" t="s">
        <v>94</v>
      </c>
      <c r="K209" s="179" t="s">
        <v>100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https://www.comunidad.madrid/pjus_sede/node/35</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Conozca la sede</v>
      </c>
      <c r="C211" s="85" t="str" cm="1">
        <f t="array" ref="C211">IFERROR(INDEX('03.Muestra'!$F$8:$F$42,SMALL(IF("Página Web"='03.Muestra'!$D$8:$D$42,ROW('03.Muestra'!$F$8:$F$42)-MIN(ROW('03.Muestra'!$D$8:$D$42))+1,""),ROW()-208)),"")</f>
        <v>https://www.comunidad.madrid/pjus_sede/conozcalasede</v>
      </c>
      <c r="D211" s="99" t="s">
        <v>106</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Tramites y servicios</v>
      </c>
      <c r="C212" s="85" t="str" cm="1">
        <f t="array" ref="C212">IFERROR(INDEX('03.Muestra'!$F$8:$F$42,SMALL(IF("Página Web"='03.Muestra'!$D$8:$D$42,ROW('03.Muestra'!$F$8:$F$42)-MIN(ROW('03.Muestra'!$D$8:$D$42))+1,""),ROW()-208)),"")</f>
        <v>https://www.comunidad.madrid/pjus_sede/tramitesyservicios</v>
      </c>
      <c r="D212" s="99" t="s">
        <v>106</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Ayuda</v>
      </c>
      <c r="C213" s="85" t="str" cm="1">
        <f t="array" ref="C213">IFERROR(INDEX('03.Muestra'!$F$8:$F$42,SMALL(IF("Página Web"='03.Muestra'!$D$8:$D$42,ROW('03.Muestra'!$F$8:$F$42)-MIN(ROW('03.Muestra'!$D$8:$D$42))+1,""),ROW()-208)),"")</f>
        <v>https://www.comunidad.madrid/pjus_sede/ayuda</v>
      </c>
      <c r="D213" s="99" t="s">
        <v>106</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Resultados de búsqueda</v>
      </c>
      <c r="C214" s="85" t="str" cm="1">
        <f t="array" ref="C214">IFERROR(INDEX('03.Muestra'!$F$8:$F$42,SMALL(IF("Página Web"='03.Muestra'!$D$8:$D$42,ROW('03.Muestra'!$F$8:$F$42)-MIN(ROW('03.Muestra'!$D$8:$D$42))+1,""),ROW()-208)),"")</f>
        <v>https://www.comunidad.madrid/pjus_sede/search/node/sugerencias</v>
      </c>
      <c r="D214" s="99" t="s">
        <v>106</v>
      </c>
      <c r="E214" s="79" t="str">
        <f t="shared" si="10"/>
        <v/>
      </c>
      <c r="G214" s="18"/>
      <c r="H214" s="18"/>
      <c r="I214" s="18"/>
      <c r="J214" s="18"/>
      <c r="K214" s="184"/>
    </row>
    <row r="215" spans="1:11" ht="12" customHeight="1">
      <c r="A215" s="39" t="str" cm="1">
        <f t="array" ref="A215">IFERROR(INDEX('03.Muestra'!$B$8:$B$42,SMALL(IF("Página Web"='03.Muestra'!$D$8:$D$42,ROW('03.Muestra'!$B$8:$B$42)-MIN(ROW('03.Muestra'!$D$8:$D$42))+1,""),ROW()-208)),"")</f>
        <v/>
      </c>
      <c r="B215" s="85" t="str" cm="1">
        <f t="array" ref="B215">IFERROR(INDEX('03.Muestra'!$C$8:$C$42,SMALL(IF("Página Web"='03.Muestra'!$D$8:$D$42,ROW('03.Muestra'!$C$8:$C$42)-MIN(ROW('03.Muestra'!$D$8:$D$42))+1,""),ROW()-208)),"")</f>
        <v/>
      </c>
      <c r="C215" s="85" t="str" cm="1">
        <f t="array" ref="C215">IFERROR(INDEX('03.Muestra'!$F$8:$F$42,SMALL(IF("Página Web"='03.Muestra'!$D$8:$D$42,ROW('03.Muestra'!$F$8:$F$42)-MIN(ROW('03.Muestra'!$D$8:$D$42))+1,""),ROW()-208)),"")</f>
        <v/>
      </c>
      <c r="D215" s="99" t="str">
        <f t="shared" ref="D215:D243" si="11">IF(AND(B215&lt;&gt;"",C215&lt;&gt;""),"N/T","")</f>
        <v/>
      </c>
      <c r="E215" s="79" t="str">
        <f t="shared" si="10"/>
        <v/>
      </c>
      <c r="F215" s="18"/>
      <c r="G215" s="18"/>
      <c r="H215" s="18"/>
      <c r="I215" s="18"/>
      <c r="J215" s="18"/>
      <c r="K215" s="184"/>
    </row>
    <row r="216" spans="1:11"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si="11"/>
        <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83" zoomScale="65" zoomScaleNormal="65" workbookViewId="0">
      <selection activeCell="D96" sqref="D96:D10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248</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COUNTIF($B$18:$B$4000,B12)</f>
        <v>5</v>
      </c>
      <c r="D12" s="26"/>
      <c r="E12" s="14"/>
      <c r="F12" s="199" t="s">
        <v>94</v>
      </c>
      <c r="G12" s="72">
        <f ca="1">J20+J58+J96+J134+J172</f>
        <v>12</v>
      </c>
      <c r="H12" s="42">
        <f ca="1">IF(($G$15+$K$15)=0,0,G12/($G$15+$K$15))</f>
        <v>0.4</v>
      </c>
      <c r="I12" s="26"/>
      <c r="J12" s="183" t="s">
        <v>95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f>
        <v>18</v>
      </c>
      <c r="H13" s="42">
        <f ca="1">IF(($G$15+$K$15)=0,0,G13/($G$15+$K$15))</f>
        <v>0.6</v>
      </c>
      <c r="I13" s="26"/>
      <c r="J13" s="183" t="s">
        <v>97</v>
      </c>
      <c r="K13" s="72">
        <f ca="1">F20+F58+F96+F134+F172</f>
        <v>0</v>
      </c>
      <c r="L13" s="42">
        <f ca="1">IF(($G$15+$K$15)=0,0,K13/($G$15+$K$15))</f>
        <v>0</v>
      </c>
      <c r="M13" s="18"/>
      <c r="N13" s="18"/>
      <c r="O13" s="18"/>
      <c r="P13" s="18"/>
      <c r="Q13" s="18"/>
      <c r="R13" s="18"/>
      <c r="U13" s="18"/>
      <c r="V13" s="18"/>
      <c r="W13" s="18"/>
      <c r="X13" s="18"/>
      <c r="Y13" s="18"/>
    </row>
    <row r="14" spans="1:64" ht="12" customHeight="1" thickBot="1">
      <c r="B14" s="200" t="s">
        <v>98</v>
      </c>
      <c r="C14" s="201">
        <f>C12+C13</f>
        <v>5</v>
      </c>
      <c r="D14" s="26"/>
      <c r="E14" s="14"/>
      <c r="F14" s="199" t="s">
        <v>99</v>
      </c>
      <c r="G14" s="72">
        <f ca="1">H20+H58+H96+H134+H172</f>
        <v>0</v>
      </c>
      <c r="H14" s="42">
        <f ca="1">IF(($G$15+$K$15)=0,0,G14/($G$15+$K$15))</f>
        <v>0</v>
      </c>
      <c r="I14" s="26"/>
      <c r="J14" s="183" t="s">
        <v>100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30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101</v>
      </c>
      <c r="B18" s="23" t="s">
        <v>93</v>
      </c>
      <c r="C18" s="24" t="s">
        <v>249</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https://www.comunidad.madrid/pjus_sede/</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https://www.comunidad.madrid/pjus_sede/node/35</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Conozca la sede</v>
      </c>
      <c r="C21" s="85" t="str" cm="1">
        <f t="array" ref="C21">IFERROR(INDEX('03.Muestra'!$F$8:$F$42,SMALL(IF("Página Web"='03.Muestra'!$D$8:$D$42,ROW('03.Muestra'!$F$8:$F$42)-MIN(ROW('03.Muestra'!$D$8:$D$42))+1,""),ROW()-18)),"")</f>
        <v>https://www.comunidad.madrid/pjus_sede/conozcalasede</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Tramites y servicios</v>
      </c>
      <c r="C22" s="85" t="str" cm="1">
        <f t="array" ref="C22">IFERROR(INDEX('03.Muestra'!$F$8:$F$42,SMALL(IF("Página Web"='03.Muestra'!$D$8:$D$42,ROW('03.Muestra'!$F$8:$F$42)-MIN(ROW('03.Muestra'!$D$8:$D$42))+1,""),ROW()-18)),"")</f>
        <v>https://www.comunidad.madrid/pjus_sede/tramitesyservicios</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Ayuda</v>
      </c>
      <c r="C23" s="85" t="str" cm="1">
        <f t="array" ref="C23">IFERROR(INDEX('03.Muestra'!$F$8:$F$42,SMALL(IF("Página Web"='03.Muestra'!$D$8:$D$42,ROW('03.Muestra'!$F$8:$F$42)-MIN(ROW('03.Muestra'!$D$8:$D$42))+1,""),ROW()-18)),"")</f>
        <v>https://www.comunidad.madrid/pjus_sede/ayuda</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Resultados de búsqueda</v>
      </c>
      <c r="C24" s="85" t="str" cm="1">
        <f t="array" ref="C24">IFERROR(INDEX('03.Muestra'!$F$8:$F$42,SMALL(IF("Página Web"='03.Muestra'!$D$8:$D$42,ROW('03.Muestra'!$F$8:$F$42)-MIN(ROW('03.Muestra'!$D$8:$D$42))+1,""),ROW()-18)),"")</f>
        <v>https://www.comunidad.madrid/pjus_sede/search/node/sugerencias</v>
      </c>
      <c r="D24" s="99" t="s">
        <v>94</v>
      </c>
      <c r="E24" s="79" t="str">
        <f t="shared" si="0"/>
        <v/>
      </c>
      <c r="F24" s="18"/>
      <c r="G24" s="18"/>
      <c r="H24" s="18"/>
      <c r="I24" s="18"/>
      <c r="K24" s="87" t="s">
        <v>105</v>
      </c>
      <c r="L24" s="92" t="s">
        <v>109</v>
      </c>
      <c r="AD24" s="18"/>
    </row>
    <row r="25" spans="1:30" ht="12" customHeight="1">
      <c r="A25" s="39" t="str" cm="1">
        <f t="array" ref="A25">IFERROR(INDEX('03.Muestra'!$B$8:$B$42,SMALL(IF("Página Web"='03.Muestra'!$D$8:$D$42,ROW('03.Muestra'!$B$8:$B$42)-MIN(ROW('03.Muestra'!$D$8:$D$42))+1,""),ROW()-18)),"")</f>
        <v/>
      </c>
      <c r="B25" s="85" t="str" cm="1">
        <f t="array" ref="B25">IFERROR(INDEX('03.Muestra'!$C$8:$C$42,SMALL(IF("Página Web"='03.Muestra'!$D$8:$D$42,ROW('03.Muestra'!$C$8:$C$42)-MIN(ROW('03.Muestra'!$D$8:$D$42))+1,""),ROW()-18)),"")</f>
        <v/>
      </c>
      <c r="C25" s="85"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250</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https://www.comunidad.madrid/pjus_sede/</v>
      </c>
      <c r="D57" s="99" t="s">
        <v>96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https://www.comunidad.madrid/pjus_sede/node/35</v>
      </c>
      <c r="D58" s="99" t="s">
        <v>96</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6</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Conozca la sede</v>
      </c>
      <c r="C59" s="85" t="str" cm="1">
        <f t="array" ref="C59">IFERROR(INDEX('03.Muestra'!$F$8:$F$42,SMALL(IF("Página Web"='03.Muestra'!$D$8:$D$42,ROW('03.Muestra'!$F$8:$F$42)-MIN(ROW('03.Muestra'!$D$8:$D$42))+1,""),ROW()-56)),"")</f>
        <v>https://www.comunidad.madrid/pjus_sede/conozcalasede</v>
      </c>
      <c r="D59" s="99" t="s">
        <v>96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Tramites y servicios</v>
      </c>
      <c r="C60" s="85" t="str" cm="1">
        <f t="array" ref="C60">IFERROR(INDEX('03.Muestra'!$F$8:$F$42,SMALL(IF("Página Web"='03.Muestra'!$D$8:$D$42,ROW('03.Muestra'!$F$8:$F$42)-MIN(ROW('03.Muestra'!$D$8:$D$42))+1,""),ROW()-56)),"")</f>
        <v>https://www.comunidad.madrid/pjus_sede/tramitesyservicios</v>
      </c>
      <c r="D60" s="99" t="s">
        <v>96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Ayuda</v>
      </c>
      <c r="C61" s="85" t="str" cm="1">
        <f t="array" ref="C61">IFERROR(INDEX('03.Muestra'!$F$8:$F$42,SMALL(IF("Página Web"='03.Muestra'!$D$8:$D$42,ROW('03.Muestra'!$F$8:$F$42)-MIN(ROW('03.Muestra'!$D$8:$D$42))+1,""),ROW()-56)),"")</f>
        <v>https://www.comunidad.madrid/pjus_sede/ayuda</v>
      </c>
      <c r="D61" s="99" t="s">
        <v>96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Resultados de búsqueda</v>
      </c>
      <c r="C62" s="85" t="str" cm="1">
        <f t="array" ref="C62">IFERROR(INDEX('03.Muestra'!$F$8:$F$42,SMALL(IF("Página Web"='03.Muestra'!$D$8:$D$42,ROW('03.Muestra'!$F$8:$F$42)-MIN(ROW('03.Muestra'!$D$8:$D$42))+1,""),ROW()-56)),"")</f>
        <v>https://www.comunidad.madrid/pjus_sede/search/node/sugerencias</v>
      </c>
      <c r="D62" s="99" t="s">
        <v>96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IFERROR(INDEX('03.Muestra'!$B$8:$B$42,SMALL(IF("Página Web"='03.Muestra'!$D$8:$D$42,ROW('03.Muestra'!$B$8:$B$42)-MIN(ROW('03.Muestra'!$D$8:$D$42))+1,""),ROW()-56)),"")</f>
        <v/>
      </c>
      <c r="B63" s="85" t="str" cm="1">
        <f t="array" ref="B63">IFERROR(INDEX('03.Muestra'!$C$8:$C$42,SMALL(IF("Página Web"='03.Muestra'!$D$8:$D$42,ROW('03.Muestra'!$C$8:$C$42)-MIN(ROW('03.Muestra'!$D$8:$D$42))+1,""),ROW()-56)),"")</f>
        <v/>
      </c>
      <c r="C63" s="8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251</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https://www.comunidad.madrid/pjus_sede/</v>
      </c>
      <c r="D95" s="99" t="s">
        <v>94</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https://www.comunidad.madrid/pjus_sede/node/35</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6</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Conozca la sede</v>
      </c>
      <c r="C97" s="85" t="str" cm="1">
        <f t="array" ref="C97">IFERROR(INDEX('03.Muestra'!$F$8:$F$42,SMALL(IF("Página Web"='03.Muestra'!$D$8:$D$42,ROW('03.Muestra'!$F$8:$F$42)-MIN(ROW('03.Muestra'!$D$8:$D$42))+1,""),ROW()-94)),"")</f>
        <v>https://www.comunidad.madrid/pjus_sede/conozcalasede</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Tramites y servicios</v>
      </c>
      <c r="C98" s="85" t="str" cm="1">
        <f t="array" ref="C98">IFERROR(INDEX('03.Muestra'!$F$8:$F$42,SMALL(IF("Página Web"='03.Muestra'!$D$8:$D$42,ROW('03.Muestra'!$F$8:$F$42)-MIN(ROW('03.Muestra'!$D$8:$D$42))+1,""),ROW()-94)),"")</f>
        <v>https://www.comunidad.madrid/pjus_sede/tramitesyservicios</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Ayuda</v>
      </c>
      <c r="C99" s="85" t="str" cm="1">
        <f t="array" ref="C99">IFERROR(INDEX('03.Muestra'!$F$8:$F$42,SMALL(IF("Página Web"='03.Muestra'!$D$8:$D$42,ROW('03.Muestra'!$F$8:$F$42)-MIN(ROW('03.Muestra'!$D$8:$D$42))+1,""),ROW()-94)),"")</f>
        <v>https://www.comunidad.madrid/pjus_sede/ayuda</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Resultados de búsqueda</v>
      </c>
      <c r="C100" s="85" t="str" cm="1">
        <f t="array" ref="C100">IFERROR(INDEX('03.Muestra'!$F$8:$F$42,SMALL(IF("Página Web"='03.Muestra'!$D$8:$D$42,ROW('03.Muestra'!$F$8:$F$42)-MIN(ROW('03.Muestra'!$D$8:$D$42))+1,""),ROW()-94)),"")</f>
        <v>https://www.comunidad.madrid/pjus_sede/search/node/sugerencias</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IFERROR(INDEX('03.Muestra'!$B$8:$B$42,SMALL(IF("Página Web"='03.Muestra'!$D$8:$D$42,ROW('03.Muestra'!$B$8:$B$42)-MIN(ROW('03.Muestra'!$D$8:$D$42))+1,""),ROW()-94)),"")</f>
        <v/>
      </c>
      <c r="B101" s="85" t="str" cm="1">
        <f t="array" ref="B101">IFERROR(INDEX('03.Muestra'!$C$8:$C$42,SMALL(IF("Página Web"='03.Muestra'!$D$8:$D$42,ROW('03.Muestra'!$C$8:$C$42)-MIN(ROW('03.Muestra'!$D$8:$D$42))+1,""),ROW()-94)),"")</f>
        <v/>
      </c>
      <c r="C101" s="8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252</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https://www.comunidad.madrid/pjus_sede/</v>
      </c>
      <c r="D133" s="99" t="s">
        <v>96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https://www.comunidad.madrid/pjus_sede/node/35</v>
      </c>
      <c r="D134" s="99" t="s">
        <v>96</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6</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Conozca la sede</v>
      </c>
      <c r="C135" s="85" t="str" cm="1">
        <f t="array" ref="C135">IFERROR(INDEX('03.Muestra'!$F$8:$F$42,SMALL(IF("Página Web"='03.Muestra'!$D$8:$D$42,ROW('03.Muestra'!$F$8:$F$42)-MIN(ROW('03.Muestra'!$D$8:$D$42))+1,""),ROW()-132)),"")</f>
        <v>https://www.comunidad.madrid/pjus_sede/conozcalasede</v>
      </c>
      <c r="D135" s="99" t="s">
        <v>96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Tramites y servicios</v>
      </c>
      <c r="C136" s="85" t="str" cm="1">
        <f t="array" ref="C136">IFERROR(INDEX('03.Muestra'!$F$8:$F$42,SMALL(IF("Página Web"='03.Muestra'!$D$8:$D$42,ROW('03.Muestra'!$F$8:$F$42)-MIN(ROW('03.Muestra'!$D$8:$D$42))+1,""),ROW()-132)),"")</f>
        <v>https://www.comunidad.madrid/pjus_sede/tramitesyservicios</v>
      </c>
      <c r="D136" s="99" t="s">
        <v>96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Ayuda</v>
      </c>
      <c r="C137" s="85" t="str" cm="1">
        <f t="array" ref="C137">IFERROR(INDEX('03.Muestra'!$F$8:$F$42,SMALL(IF("Página Web"='03.Muestra'!$D$8:$D$42,ROW('03.Muestra'!$F$8:$F$42)-MIN(ROW('03.Muestra'!$D$8:$D$42))+1,""),ROW()-132)),"")</f>
        <v>https://www.comunidad.madrid/pjus_sede/ayuda</v>
      </c>
      <c r="D137" s="99" t="s">
        <v>96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Resultados de búsqueda</v>
      </c>
      <c r="C138" s="85" t="str" cm="1">
        <f t="array" ref="C138">IFERROR(INDEX('03.Muestra'!$F$8:$F$42,SMALL(IF("Página Web"='03.Muestra'!$D$8:$D$42,ROW('03.Muestra'!$F$8:$F$42)-MIN(ROW('03.Muestra'!$D$8:$D$42))+1,""),ROW()-132)),"")</f>
        <v>https://www.comunidad.madrid/pjus_sede/search/node/sugerencias</v>
      </c>
      <c r="D138" s="99" t="s">
        <v>96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IFERROR(INDEX('03.Muestra'!$B$8:$B$42,SMALL(IF("Página Web"='03.Muestra'!$D$8:$D$42,ROW('03.Muestra'!$B$8:$B$42)-MIN(ROW('03.Muestra'!$D$8:$D$42))+1,""),ROW()-132)),"")</f>
        <v/>
      </c>
      <c r="B139" s="85" t="str" cm="1">
        <f t="array" ref="B139">IFERROR(INDEX('03.Muestra'!$C$8:$C$42,SMALL(IF("Página Web"='03.Muestra'!$D$8:$D$42,ROW('03.Muestra'!$C$8:$C$42)-MIN(ROW('03.Muestra'!$D$8:$D$42))+1,""),ROW()-132)),"")</f>
        <v/>
      </c>
      <c r="C139" s="85" t="str" cm="1">
        <f t="array" ref="C139">IFERROR(INDEX('03.Muestra'!$F$8:$F$42,SMALL(IF("Página Web"='03.Muestra'!$D$8:$D$42,ROW('03.Muestra'!$F$8:$F$42)-MIN(ROW('03.Muestra'!$D$8:$D$42))+1,""),ROW()-132)),"")</f>
        <v/>
      </c>
      <c r="D139" s="99" t="str">
        <f t="shared" ref="D139:D167" si="7">IF(AND(B139&lt;&gt;"",C139&lt;&gt;""),"N/T","")</f>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253</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https://www.comunidad.madrid/pjus_sede/</v>
      </c>
      <c r="D171" s="99" t="s">
        <v>96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https://www.comunidad.madrid/pjus_sede/node/35</v>
      </c>
      <c r="D172" s="99" t="s">
        <v>96</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6</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Conozca la sede</v>
      </c>
      <c r="C173" s="85" t="str" cm="1">
        <f t="array" ref="C173">IFERROR(INDEX('03.Muestra'!$F$8:$F$42,SMALL(IF("Página Web"='03.Muestra'!$D$8:$D$42,ROW('03.Muestra'!$F$8:$F$42)-MIN(ROW('03.Muestra'!$D$8:$D$42))+1,""),ROW()-170)),"")</f>
        <v>https://www.comunidad.madrid/pjus_sede/conozcalasede</v>
      </c>
      <c r="D173" s="99" t="s">
        <v>96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Tramites y servicios</v>
      </c>
      <c r="C174" s="85" t="str" cm="1">
        <f t="array" ref="C174">IFERROR(INDEX('03.Muestra'!$F$8:$F$42,SMALL(IF("Página Web"='03.Muestra'!$D$8:$D$42,ROW('03.Muestra'!$F$8:$F$42)-MIN(ROW('03.Muestra'!$D$8:$D$42))+1,""),ROW()-170)),"")</f>
        <v>https://www.comunidad.madrid/pjus_sede/tramitesyservicios</v>
      </c>
      <c r="D174" s="99" t="s">
        <v>96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Ayuda</v>
      </c>
      <c r="C175" s="85" t="str" cm="1">
        <f t="array" ref="C175">IFERROR(INDEX('03.Muestra'!$F$8:$F$42,SMALL(IF("Página Web"='03.Muestra'!$D$8:$D$42,ROW('03.Muestra'!$F$8:$F$42)-MIN(ROW('03.Muestra'!$D$8:$D$42))+1,""),ROW()-170)),"")</f>
        <v>https://www.comunidad.madrid/pjus_sede/ayuda</v>
      </c>
      <c r="D175" s="99" t="s">
        <v>96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Resultados de búsqueda</v>
      </c>
      <c r="C176" s="85" t="str" cm="1">
        <f t="array" ref="C176">IFERROR(INDEX('03.Muestra'!$F$8:$F$42,SMALL(IF("Página Web"='03.Muestra'!$D$8:$D$42,ROW('03.Muestra'!$F$8:$F$42)-MIN(ROW('03.Muestra'!$D$8:$D$42))+1,""),ROW()-170)),"")</f>
        <v>https://www.comunidad.madrid/pjus_sede/search/node/sugerencias</v>
      </c>
      <c r="D176" s="99" t="s">
        <v>96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IFERROR(INDEX('03.Muestra'!$B$8:$B$42,SMALL(IF("Página Web"='03.Muestra'!$D$8:$D$42,ROW('03.Muestra'!$B$8:$B$42)-MIN(ROW('03.Muestra'!$D$8:$D$42))+1,""),ROW()-170)),"")</f>
        <v/>
      </c>
      <c r="B177" s="85" t="str" cm="1">
        <f t="array" ref="B177">IFERROR(INDEX('03.Muestra'!$C$8:$C$42,SMALL(IF("Página Web"='03.Muestra'!$D$8:$D$42,ROW('03.Muestra'!$C$8:$C$42)-MIN(ROW('03.Muestra'!$D$8:$D$42))+1,""),ROW()-170)),"")</f>
        <v/>
      </c>
      <c r="C177" s="85" t="str" cm="1">
        <f t="array" ref="C177">IFERROR(INDEX('03.Muestra'!$F$8:$F$42,SMALL(IF("Página Web"='03.Muestra'!$D$8:$D$42,ROW('03.Muestra'!$F$8:$F$42)-MIN(ROW('03.Muestra'!$D$8:$D$42))+1,""),ROW()-170)),"")</f>
        <v/>
      </c>
      <c r="D177" s="99" t="str">
        <f t="shared" ref="D177:D205" si="9">IF(AND(B177&lt;&gt;"",C177&lt;&gt;""),"N/T","")</f>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4"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2" t="s">
        <v>255</v>
      </c>
      <c r="L6" s="232"/>
      <c r="M6" s="232"/>
      <c r="N6" s="48"/>
      <c r="O6" s="232" t="s">
        <v>256</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3" t="s">
        <v>88</v>
      </c>
      <c r="D7" s="234"/>
      <c r="E7" s="205" t="s">
        <v>257</v>
      </c>
      <c r="F7" s="205" t="s">
        <v>258</v>
      </c>
      <c r="G7" s="205" t="s">
        <v>99</v>
      </c>
      <c r="H7" s="205" t="s">
        <v>259</v>
      </c>
      <c r="I7" s="197" t="s">
        <v>260</v>
      </c>
      <c r="J7" s="186" t="s">
        <v>261</v>
      </c>
      <c r="K7" s="206" t="s">
        <v>262</v>
      </c>
      <c r="L7" s="106" t="s">
        <v>263</v>
      </c>
      <c r="M7" s="207" t="s">
        <v>91</v>
      </c>
      <c r="O7" s="206" t="s">
        <v>262</v>
      </c>
      <c r="P7" s="106" t="s">
        <v>263</v>
      </c>
      <c r="Q7" s="207" t="s">
        <v>91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5" t="s">
        <v>264</v>
      </c>
      <c r="D8" s="236"/>
      <c r="E8" s="38" t="str">
        <f ca="1">CONCATENATE(COUNTIF(E55:CR55,"CONFORME")," (",ROUND(COUNTIF(E55:CR55,"CONFORME")*100/COUNTA($E$19:CR$19),2)," %)")</f>
        <v>19 (20,65 %)</v>
      </c>
      <c r="F8" s="38" t="str">
        <f ca="1">CONCATENATE(COUNTIF(E55:CR55,"NO CONFORME")," (",ROUND(COUNTIF(E55:CR55,"NO CONFORME")*100/COUNTA($E$19:CR$19),2)," %)")</f>
        <v>14 (15,22 %)</v>
      </c>
      <c r="G8" s="39" t="str">
        <f ca="1">CONCATENATE(COUNTIF(E55:CR55,"N/A")," (",ROUND(COUNTIF(E55:CR55,"N/A")*100/COUNTA($E$19:CR$19),2)," %)")</f>
        <v>59 (64,13 %)</v>
      </c>
      <c r="H8" s="39">
        <f ca="1">COUNTIF(E55:CR55,"ERROR")</f>
        <v>0</v>
      </c>
      <c r="I8" s="40">
        <f ca="1">COUNTIF(E55:CR55,"EN CURSO")</f>
        <v>0</v>
      </c>
      <c r="J8" s="187">
        <f ca="1">SUM(VALUE(LEFT(E8,SEARCH(" ",E8)-1)),VALUE(LEFT(F8,SEARCH(" ",F8)-1)))</f>
        <v>33</v>
      </c>
      <c r="K8" s="41" t="s">
        <v>265</v>
      </c>
      <c r="L8" s="38">
        <f ca="1">COUNTIF( $E$20:INDIRECT("$CR$" &amp;  SUM(19,COUNTIFS(B20:B54,"&lt;&gt;"))),"Pasa")+ COUNTIF($E$61:INDIRECT("$AW$" &amp;  SUM(60,COUNTIFS(B61:B95,"&lt;&gt;"))),"Pasa")</f>
        <v>134</v>
      </c>
      <c r="M8" s="42">
        <f ca="1">IF(($L$11+$P$11)=0,0,L8/($L$11+$P$11))</f>
        <v>0.24275362318840579</v>
      </c>
      <c r="N8" s="26"/>
      <c r="O8" s="41" t="s">
        <v>95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1" t="s">
        <v>266</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96</v>
      </c>
      <c r="L9" s="38">
        <f ca="1">COUNTIF( $E$20:INDIRECT("$CR$" &amp;  SUM(19,COUNTIFS(B20:B54,"&lt;&gt;"))),"Falla")+ COUNTIF($E$61:INDIRECT("$AW$" &amp;  SUM(60,COUNTIFS(B61:B95,"&lt;&gt;"))),"Falla")</f>
        <v>53</v>
      </c>
      <c r="M9" s="42">
        <f ca="1">IF(($L$11+$P$11)=0,0,L9/($L$11+$P$11))</f>
        <v>9.6014492753623185E-2</v>
      </c>
      <c r="N9" s="26"/>
      <c r="O9" s="41" t="s">
        <v>97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6" t="s">
        <v>267</v>
      </c>
      <c r="D10" s="247"/>
      <c r="E10" s="192" t="str">
        <f ca="1">CONCATENATE(ROUND(E11/137*100,2)," %")</f>
        <v>13,87 %</v>
      </c>
      <c r="F10" s="192" t="str">
        <f ca="1">CONCATENATE(ROUND(F11/137*100,2)," %")</f>
        <v>10,22 %</v>
      </c>
      <c r="G10" s="192" t="str">
        <f ca="1">CONCATENATE(ROUND(G11/137*100,2)," %")</f>
        <v>75,91 %</v>
      </c>
      <c r="H10" s="192" t="str">
        <f ca="1">CONCATENATE(ROUND(H11/137*100,2)," %")</f>
        <v>0 %</v>
      </c>
      <c r="I10" s="194" t="str">
        <f ca="1">CONCATENATE(ROUND(I11/137*100,2)," %")</f>
        <v>0 %</v>
      </c>
      <c r="J10" s="195"/>
      <c r="K10" s="41" t="s">
        <v>99</v>
      </c>
      <c r="L10" s="38">
        <f ca="1">COUNTIF( $E$20:INDIRECT("$CR$" &amp;  SUM(19,COUNTIFS(B20:B54,"&lt;&gt;"))),"N/A")+COUNTIF($E$61:INDIRECT("$AW$" &amp;  SUM(60,COUNTIFS(B61:B95,"&lt;&gt;"))),"N/A")</f>
        <v>365</v>
      </c>
      <c r="M10" s="42">
        <f ca="1">IF(($L$11+$P$11)=0,0,L10/($L$11+$P$11))</f>
        <v>0.66123188405797106</v>
      </c>
      <c r="N10" s="26"/>
      <c r="O10" s="139" t="s">
        <v>100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0"/>
      <c r="D11" s="240"/>
      <c r="E11" s="193">
        <f ca="1">SUM(VALUE(LEFT(E8,SEARCH(" ",E8)-1)),VALUE(LEFT(E9,SEARCH(" ",E9)-1)))</f>
        <v>19</v>
      </c>
      <c r="F11" s="193">
        <f ca="1">SUM(VALUE(LEFT(F8,SEARCH(" ",F8)-1)),VALUE(LEFT(F9,SEARCH(" ",F9)-1)))</f>
        <v>14</v>
      </c>
      <c r="G11" s="193">
        <f ca="1">SUM(VALUE(LEFT(G8,SEARCH(" ",G8)-1)),VALUE(LEFT(G9,SEARCH(" ",G9)-1)))</f>
        <v>104</v>
      </c>
      <c r="H11" s="193">
        <f ca="1">SUM(H8:H9)</f>
        <v>0</v>
      </c>
      <c r="I11" s="193">
        <f ca="1">SUM(I8:I9)</f>
        <v>0</v>
      </c>
      <c r="K11" s="43" t="s">
        <v>268</v>
      </c>
      <c r="L11" s="203">
        <f ca="1">SUM(L8:L10)</f>
        <v>552</v>
      </c>
      <c r="M11" s="204">
        <f ca="1">SUM(M8:M10)</f>
        <v>1</v>
      </c>
      <c r="N11" s="26"/>
      <c r="O11" s="43" t="s">
        <v>268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269</v>
      </c>
      <c r="E13" s="18"/>
      <c r="F13" s="243" t="s">
        <v>270</v>
      </c>
      <c r="G13" s="244"/>
      <c r="H13" s="244"/>
      <c r="I13" s="245"/>
      <c r="J13" s="18"/>
      <c r="K13" s="243" t="s">
        <v>271</v>
      </c>
      <c r="L13" s="245"/>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5.76</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264</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272</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101</v>
      </c>
      <c r="C19" s="72" t="s">
        <v>273</v>
      </c>
      <c r="D19" s="72" t="s">
        <v>274</v>
      </c>
      <c r="E19" s="72" t="s">
        <v>275</v>
      </c>
      <c r="F19" s="72" t="s">
        <v>276</v>
      </c>
      <c r="G19" s="72" t="s">
        <v>277</v>
      </c>
      <c r="H19" s="72" t="s">
        <v>278</v>
      </c>
      <c r="I19" s="72" t="s">
        <v>279</v>
      </c>
      <c r="J19" s="72" t="s">
        <v>280</v>
      </c>
      <c r="K19" s="72" t="s">
        <v>281</v>
      </c>
      <c r="L19" s="72" t="s">
        <v>282</v>
      </c>
      <c r="M19" s="72" t="s">
        <v>283</v>
      </c>
      <c r="N19" s="72" t="s">
        <v>284</v>
      </c>
      <c r="O19" s="72" t="s">
        <v>285</v>
      </c>
      <c r="P19" s="72" t="s">
        <v>286</v>
      </c>
      <c r="Q19" s="72" t="s">
        <v>287</v>
      </c>
      <c r="R19" s="72" t="s">
        <v>288</v>
      </c>
      <c r="S19" s="72" t="s">
        <v>289</v>
      </c>
      <c r="T19" s="72" t="s">
        <v>290</v>
      </c>
      <c r="U19" s="72" t="s">
        <v>291</v>
      </c>
      <c r="V19" s="72" t="s">
        <v>292</v>
      </c>
      <c r="W19" s="72" t="s">
        <v>293</v>
      </c>
      <c r="X19" s="72" t="s">
        <v>294</v>
      </c>
      <c r="Y19" s="72" t="s">
        <v>295</v>
      </c>
      <c r="Z19" s="72" t="s">
        <v>296</v>
      </c>
      <c r="AA19" s="72" t="s">
        <v>297</v>
      </c>
      <c r="AB19" s="72" t="s">
        <v>298</v>
      </c>
      <c r="AC19" s="72" t="s">
        <v>299</v>
      </c>
      <c r="AD19" s="72" t="s">
        <v>300</v>
      </c>
      <c r="AE19" s="72" t="s">
        <v>301</v>
      </c>
      <c r="AF19" s="72" t="s">
        <v>302</v>
      </c>
      <c r="AG19" s="72" t="s">
        <v>303</v>
      </c>
      <c r="AH19" s="72" t="s">
        <v>304</v>
      </c>
      <c r="AI19" s="72" t="s">
        <v>305</v>
      </c>
      <c r="AJ19" s="72" t="s">
        <v>306</v>
      </c>
      <c r="AK19" s="72" t="s">
        <v>307</v>
      </c>
      <c r="AL19" s="72" t="s">
        <v>308</v>
      </c>
      <c r="AM19" s="72" t="s">
        <v>309</v>
      </c>
      <c r="AN19" s="72" t="s">
        <v>310</v>
      </c>
      <c r="AO19" s="72" t="s">
        <v>311</v>
      </c>
      <c r="AP19" s="72" t="s">
        <v>312</v>
      </c>
      <c r="AQ19" s="72" t="s">
        <v>313</v>
      </c>
      <c r="AR19" s="72" t="s">
        <v>314</v>
      </c>
      <c r="AS19" s="72" t="s">
        <v>315</v>
      </c>
      <c r="AT19" s="72" t="s">
        <v>316</v>
      </c>
      <c r="AU19" s="72" t="s">
        <v>317</v>
      </c>
      <c r="AV19" s="72" t="s">
        <v>318</v>
      </c>
      <c r="AW19" s="72" t="s">
        <v>319</v>
      </c>
      <c r="AX19" s="72" t="s">
        <v>320</v>
      </c>
      <c r="AY19" s="72" t="s">
        <v>321</v>
      </c>
      <c r="AZ19" s="72" t="s">
        <v>322</v>
      </c>
      <c r="BA19" s="72" t="s">
        <v>323</v>
      </c>
      <c r="BB19" s="72" t="s">
        <v>324</v>
      </c>
      <c r="BC19" s="72" t="s">
        <v>325</v>
      </c>
      <c r="BD19" s="72" t="s">
        <v>326</v>
      </c>
      <c r="BE19" s="72" t="s">
        <v>327</v>
      </c>
      <c r="BF19" s="72" t="s">
        <v>328</v>
      </c>
      <c r="BG19" s="72" t="s">
        <v>329</v>
      </c>
      <c r="BH19" s="72" t="s">
        <v>330</v>
      </c>
      <c r="BI19" s="72" t="s">
        <v>331</v>
      </c>
      <c r="BJ19" s="72" t="s">
        <v>332</v>
      </c>
      <c r="BK19" s="72" t="s">
        <v>333</v>
      </c>
      <c r="BL19" s="72" t="s">
        <v>334</v>
      </c>
      <c r="BM19" s="72" t="s">
        <v>335</v>
      </c>
      <c r="BN19" s="72" t="s">
        <v>336</v>
      </c>
      <c r="BO19" s="72" t="s">
        <v>337</v>
      </c>
      <c r="BP19" s="72" t="s">
        <v>338</v>
      </c>
      <c r="BQ19" s="72" t="s">
        <v>339</v>
      </c>
      <c r="BR19" s="72" t="s">
        <v>340</v>
      </c>
      <c r="BS19" s="72" t="s">
        <v>341</v>
      </c>
      <c r="BT19" s="72" t="s">
        <v>342</v>
      </c>
      <c r="BU19" s="72" t="s">
        <v>343</v>
      </c>
      <c r="BV19" s="72" t="s">
        <v>344</v>
      </c>
      <c r="BW19" s="72" t="s">
        <v>345</v>
      </c>
      <c r="BX19" s="72" t="s">
        <v>346</v>
      </c>
      <c r="BY19" s="72" t="s">
        <v>347</v>
      </c>
      <c r="BZ19" s="72" t="s">
        <v>348</v>
      </c>
      <c r="CA19" s="72" t="s">
        <v>349</v>
      </c>
      <c r="CB19" s="72" t="s">
        <v>350</v>
      </c>
      <c r="CC19" s="72" t="s">
        <v>351</v>
      </c>
      <c r="CD19" s="72" t="s">
        <v>352</v>
      </c>
      <c r="CE19" s="72" t="s">
        <v>353</v>
      </c>
      <c r="CF19" s="72" t="s">
        <v>354</v>
      </c>
      <c r="CG19" s="72" t="s">
        <v>355</v>
      </c>
      <c r="CH19" s="72" t="s">
        <v>356</v>
      </c>
      <c r="CI19" s="72" t="s">
        <v>357</v>
      </c>
      <c r="CJ19" s="72" t="s">
        <v>358</v>
      </c>
      <c r="CK19" s="72" t="s">
        <v>359</v>
      </c>
      <c r="CL19" s="72" t="s">
        <v>360</v>
      </c>
      <c r="CM19" s="72" t="s">
        <v>361</v>
      </c>
      <c r="CN19" s="72" t="s">
        <v>362</v>
      </c>
      <c r="CO19" s="72" t="s">
        <v>363</v>
      </c>
      <c r="CP19" s="72" t="s">
        <v>364</v>
      </c>
      <c r="CQ19" s="72" t="s">
        <v>365</v>
      </c>
      <c r="CR19" s="72" t="s">
        <v>366</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https://www.comunidad.madrid/pjus_sede/</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Pasa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Falla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Accesibilidad</v>
      </c>
      <c r="D21" s="74" t="str" cm="1">
        <f t="array" ref="D21">IFERROR(INDEX('03.Muestra'!$F$8:$F$42,SMALL(IF("Página Web"='03.Muestra'!$D$8:$D$42,ROW('03.Muestra'!$F$8:$F$42)-MIN(ROW('03.Muestra'!$D$8:$D$42))+1,""),ROW()-19)),"")</f>
        <v>https://www.comunidad.madrid/pjus_sede/node/35</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Falla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Conozca la sede</v>
      </c>
      <c r="D22" s="74" t="str" cm="1">
        <f t="array" ref="D22">IFERROR(INDEX('03.Muestra'!$F$8:$F$42,SMALL(IF("Página Web"='03.Muestra'!$D$8:$D$42,ROW('03.Muestra'!$F$8:$F$42)-MIN(ROW('03.Muestra'!$D$8:$D$42))+1,""),ROW()-19)),"")</f>
        <v>https://www.comunidad.madrid/pjus_sede/conozcalasede</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Falla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Tramites y servicios</v>
      </c>
      <c r="D23" s="74" t="str" cm="1">
        <f t="array" ref="D23">IFERROR(INDEX('03.Muestra'!$F$8:$F$42,SMALL(IF("Página Web"='03.Muestra'!$D$8:$D$42,ROW('03.Muestra'!$F$8:$F$42)-MIN(ROW('03.Muestra'!$D$8:$D$42))+1,""),ROW()-19)),"")</f>
        <v>https://www.comunidad.madrid/pjus_sede/tramitesyservicios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Falla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Ayuda</v>
      </c>
      <c r="D24" s="74" t="str" cm="1">
        <f t="array" ref="D24">IFERROR(INDEX('03.Muestra'!$F$8:$F$42,SMALL(IF("Página Web"='03.Muestra'!$D$8:$D$42,ROW('03.Muestra'!$F$8:$F$42)-MIN(ROW('03.Muestra'!$D$8:$D$42))+1,""),ROW()-19)),"")</f>
        <v>https://www.comunidad.madrid/pjus_sede/ayuda</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Falla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Resultados de búsqueda</v>
      </c>
      <c r="D25" s="74" t="str" cm="1">
        <f t="array" ref="D25">IFERROR(INDEX('03.Muestra'!$F$8:$F$42,SMALL(IF("Página Web"='03.Muestra'!$D$8:$D$42,ROW('03.Muestra'!$F$8:$F$42)-MIN(ROW('03.Muestra'!$D$8:$D$42))+1,""),ROW()-19)),"")</f>
        <v>https://www.comunidad.madrid/pjus_sede/search/node/sugerencias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Falla</v>
      </c>
      <c r="CU25" s="76"/>
    </row>
    <row r="26" spans="2:100" ht="20.399999999999999">
      <c r="B26" s="39" t="str" cm="1">
        <f t="array" ref="B26">IFERROR(INDEX('03.Muestra'!$B$8:$B$42,SMALL(IF("Página Web"='03.Muestra'!$D$8:$D$42,ROW('03.Muestra'!$B$8:$B$42)-MIN(ROW('03.Muestra'!$D$8:$D$42))+1,""),ROW()-19)),"")</f>
        <v/>
      </c>
      <c r="C26" s="73" t="str" cm="1">
        <f t="array" ref="C26">IFERROR(INDEX('03.Muestra'!$C$8:$C$42,SMALL(IF("Página Web"='03.Muestra'!$D$8:$D$42,ROW('03.Muestra'!$C$8:$C$42)-MIN(ROW('03.Muestra'!$D$8:$D$42))+1,""),ROW()-19)),"")</f>
        <v/>
      </c>
      <c r="D26" s="74" t="str" cm="1">
        <f t="array" ref="D26">IFERROR(INDEX('03.Muestra'!$F$8:$F$42,SMALL(IF("Página Web"='03.Muestra'!$D$8:$D$42,ROW('03.Muestra'!$F$8:$F$42)-MIN(ROW('03.Muestra'!$D$8:$D$42))+1,""),ROW()-19)),"")</f>
        <v/>
      </c>
      <c r="E26" s="75" t="str" cm="1">
        <f t="array" aca="1" ref="E26" ca="1">IF($B26="","",IF(ISBLANK(INDIRECT("R5.Genéricos!D"&amp;SUM(18,38*0,7))),"",INDIRECT("R5.Genéricos!D"&amp;SUM(18,38*0,7))))</f>
        <v/>
      </c>
      <c r="F26" s="75" t="str" cm="1">
        <f t="array" aca="1" ref="F26" ca="1">IF($B26="","",IF(ISBLANK(INDIRECT("R5.Genéricos!D"&amp;SUM(18,38*1,7))),"",INDIRECT("R5.Genéricos!D"&amp;SUM(18,38*1,7))))</f>
        <v/>
      </c>
      <c r="G26" s="75" t="str" cm="1">
        <f t="array" aca="1" ref="G26" ca="1">IF($B26="","",IF(ISBLANK(INDIRECT("R5.Genéricos!D"&amp;SUM(18,38*2,7))),"",INDIRECT("R5.Genéricos!D"&amp;SUM(18,38*2,7))))</f>
        <v/>
      </c>
      <c r="H26" s="75" t="str" cm="1">
        <f t="array" aca="1" ref="H26" ca="1">IF($B26="","",IF(ISBLANK(INDIRECT("R6.Voz!D"&amp;SUM(18,38*0,7))),"",INDIRECT("R6.Voz!D"&amp;SUM(18,38*0,7))))</f>
        <v/>
      </c>
      <c r="I26" s="75" t="str" cm="1">
        <f t="array" aca="1" ref="I26" ca="1">IF($B26="","",IF(ISBLANK(INDIRECT("R6.Voz!D"&amp;SUM(18,38*1,7))),"",INDIRECT("R6.Voz!D"&amp;SUM(18,38*1,7))))</f>
        <v/>
      </c>
      <c r="J26" s="75" t="str" cm="1">
        <f t="array" aca="1" ref="J26" ca="1">IF($B26="","",IF(ISBLANK(INDIRECT("R6.Voz!D"&amp;SUM(18,38*2,7))),"",INDIRECT("R6.Voz!D"&amp;SUM(18,38*2,7))))</f>
        <v/>
      </c>
      <c r="K26" s="75" t="str" cm="1">
        <f t="array" aca="1" ref="K26" ca="1">IF($B26="","",IF(ISBLANK(INDIRECT("R6.Voz!D"&amp;SUM(18,38*3,7))),"",INDIRECT("R6.Voz!D"&amp;SUM(18,38*3,7))))</f>
        <v/>
      </c>
      <c r="L26" s="75" t="str" cm="1">
        <f t="array" aca="1" ref="L26" ca="1">IF($B26="","",IF(ISBLANK(INDIRECT("R6.Voz!D"&amp;SUM(18,38*4,7))),"",INDIRECT("R6.Voz!D"&amp;SUM(18,38*4,7))))</f>
        <v/>
      </c>
      <c r="M26" s="75" t="str" cm="1">
        <f t="array" aca="1" ref="M26" ca="1">IF($B26="","",IF(ISBLANK(INDIRECT("R6.Voz!D"&amp;SUM(18,38*5,7))),"",INDIRECT("R6.Voz!D"&amp;SUM(18,38*5,7))))</f>
        <v/>
      </c>
      <c r="N26" s="75" t="str" cm="1">
        <f t="array" aca="1" ref="N26" ca="1">IF($B26="","",IF(ISBLANK(INDIRECT("R6.Voz!D"&amp;SUM(18,38*6,7))),"",INDIRECT("R6.Voz!D"&amp;SUM(18,38*6,7))))</f>
        <v/>
      </c>
      <c r="O26" s="75" t="str" cm="1">
        <f t="array" aca="1" ref="O26" ca="1">IF($B26="","",IF(ISBLANK(INDIRECT("R6.Voz!D"&amp;SUM(18,38*7,7))),"",INDIRECT("R6.Voz!D"&amp;SUM(18,38*7,7))))</f>
        <v/>
      </c>
      <c r="P26" s="75" t="str" cm="1">
        <f t="array" aca="1" ref="P26" ca="1">IF($B26="","",IF(ISBLANK(INDIRECT("R6.Voz!D"&amp;SUM(18,38*8,7))),"",INDIRECT("R6.Voz!D"&amp;SUM(18,38*8,7))))</f>
        <v/>
      </c>
      <c r="Q26" s="75" t="str" cm="1">
        <f t="array" aca="1" ref="Q26" ca="1">IF($B26="","",IF(ISBLANK(INDIRECT("R6.Voz!D"&amp;SUM(18,38*9,7))),"",INDIRECT("R6.Voz!D"&amp;SUM(18,38*9,7))))</f>
        <v/>
      </c>
      <c r="R26" s="75" t="str" cm="1">
        <f t="array" aca="1" ref="R26" ca="1">IF($B26="","",IF(ISBLANK(INDIRECT("R6.Voz!D"&amp;SUM(18,38*10,7))),"",INDIRECT("R6.Voz!D"&amp;SUM(18,38*10,7))))</f>
        <v/>
      </c>
      <c r="S26" s="75" t="str" cm="1">
        <f t="array" aca="1" ref="S26" ca="1">IF($B26="","",IF(ISBLANK(INDIRECT("R6.Voz!D"&amp;SUM(18,38*11,7))),"",INDIRECT("R6.Voz!D"&amp;SUM(18,38*11,7))))</f>
        <v/>
      </c>
      <c r="T26" s="75" t="str" cm="1">
        <f t="array" aca="1" ref="T26" ca="1">IF($B26="","",IF(ISBLANK(INDIRECT("R6.Voz!D"&amp;SUM(18,38*12,7))),"",INDIRECT("R6.Voz!D"&amp;SUM(18,38*12,7))))</f>
        <v/>
      </c>
      <c r="U26" s="75" t="str" cm="1">
        <f t="array" aca="1" ref="U26" ca="1">IF($B26="","",IF(ISBLANK(INDIRECT("R6.Voz!D"&amp;SUM(18,38*13,7))),"",INDIRECT("R6.Voz!D"&amp;SUM(18,38*13,7))))</f>
        <v/>
      </c>
      <c r="V26" s="75" t="str" cm="1">
        <f t="array" aca="1" ref="V26" ca="1">IF($B26="","",IF(ISBLANK(INDIRECT("R6.Voz!D"&amp;SUM(18,38*14,7))),"",INDIRECT("R6.Voz!D"&amp;SUM(18,38*14,7))))</f>
        <v/>
      </c>
      <c r="W26" s="75" t="str" cm="1">
        <f t="array" aca="1" ref="W26" ca="1">IF($B26="","",IF(ISBLANK(INDIRECT("R6.Voz!D"&amp;SUM(18,38*15,7))),"",INDIRECT("R6.Voz!D"&amp;SUM(18,38*15,7))))</f>
        <v/>
      </c>
      <c r="X26" s="75" t="str" cm="1">
        <f t="array" aca="1" ref="X26" ca="1">IF($B26="","",IF(ISBLANK(INDIRECT("R6.Voz!D"&amp;SUM(18,38*16,7))),"",INDIRECT("R6.Voz!D"&amp;SUM(18,38*16,7))))</f>
        <v/>
      </c>
      <c r="Y26" s="75" t="str" cm="1">
        <f t="array" aca="1" ref="Y26" ca="1">IF($B26="","",IF(ISBLANK(INDIRECT("R6.Voz!D"&amp;SUM(18,38*17,7))),"",INDIRECT("R6.Voz!D"&amp;SUM(18,38*17,7))))</f>
        <v/>
      </c>
      <c r="Z26" s="75" t="str" cm="1">
        <f t="array" aca="1" ref="Z26" ca="1">IF($B26="","",IF(ISBLANK(INDIRECT("R6.Voz!D"&amp;SUM(18,38*18,7))),"",INDIRECT("R6.Voz!D"&amp;SUM(18,38*18,7))))</f>
        <v/>
      </c>
      <c r="AA26" s="75" t="str" cm="1">
        <f t="array" aca="1" ref="AA26" ca="1">IF($B26="","",IF(ISBLANK(INDIRECT("R7.Video!D"&amp;SUM(18,38*0,7))),"",INDIRECT("R7.Video!D"&amp;SUM(18,38*0,7))))</f>
        <v/>
      </c>
      <c r="AB26" s="75" t="str" cm="1">
        <f t="array" aca="1" ref="AB26" ca="1">IF($B26="","",IF(ISBLANK(INDIRECT("R7.Video!D"&amp;SUM(18,38*1,7))),"",INDIRECT("R7.Video!D"&amp;SUM(18,38*1,7))))</f>
        <v/>
      </c>
      <c r="AC26" s="75" t="str" cm="1">
        <f t="array" aca="1" ref="AC26" ca="1">IF($B26="","",IF(ISBLANK(INDIRECT("R7.Video!D"&amp;SUM(18,38*2,7))),"",INDIRECT("R7.Video!D"&amp;SUM(18,38*2,7))))</f>
        <v/>
      </c>
      <c r="AD26" s="75" t="str" cm="1">
        <f t="array" aca="1" ref="AD26" ca="1">IF($B26="","",IF(ISBLANK(INDIRECT("R7.Video!D"&amp;SUM(18,38*3,7))),"",INDIRECT("R7.Video!D"&amp;SUM(18,38*3,7))))</f>
        <v/>
      </c>
      <c r="AE26" s="75" t="str" cm="1">
        <f t="array" aca="1" ref="AE26" ca="1">IF($B26="","",IF(ISBLANK(INDIRECT("R7.Video!D"&amp;SUM(18,38*4,7))),"",INDIRECT("R7.Video!D"&amp;SUM(18,38*4,7))))</f>
        <v/>
      </c>
      <c r="AF26" s="75" t="str" cm="1">
        <f t="array" aca="1" ref="AF26" ca="1">IF($B26="","",IF(ISBLANK(INDIRECT("R7.Video!D"&amp;SUM(18,38*5,7))),"",INDIRECT("R7.Video!D"&amp;SUM(18,38*5,7))))</f>
        <v/>
      </c>
      <c r="AG26" s="75" t="str" cm="1">
        <f t="array" aca="1" ref="AG26" ca="1">IF($B26="","",IF(ISBLANK(INDIRECT("R7.Video!D"&amp;SUM(18,38*6,7))),"",INDIRECT("R7.Video!D"&amp;SUM(18,38*6,7))))</f>
        <v/>
      </c>
      <c r="AH26" s="75" t="str" cm="1">
        <f t="array" aca="1" ref="AH26" ca="1">IF($B26="","",IF(ISBLANK(INDIRECT("R7.Video!D"&amp;SUM(18,38*7,7))),"",INDIRECT("R7.Video!D"&amp;SUM(18,38*7,7))))</f>
        <v/>
      </c>
      <c r="AI26" s="75" t="str" cm="1">
        <f t="array" aca="1" ref="AI26" ca="1">IF($B26="","",IF(ISBLANK(INDIRECT("R7.Video!D"&amp;SUM(18,38*8,7))),"",INDIRECT("R7.Video!D"&amp;SUM(18,38*8,7))))</f>
        <v/>
      </c>
      <c r="AJ26" s="75" t="str" cm="1">
        <f t="array" aca="1" ref="AJ26" ca="1">IF($B26="","",IF(ISBLANK(INDIRECT("R9.Web!D"&amp;SUM(18,38*0,7))),"",INDIRECT("R9.Web!D"&amp;SUM(18,38*0,7))))</f>
        <v/>
      </c>
      <c r="AK26" s="75" t="str" cm="1">
        <f t="array" aca="1" ref="AK26" ca="1">IF($B26="","",IF(ISBLANK(INDIRECT("R9.Web!D"&amp;SUM(18,38*1,7))),"",INDIRECT("R9.Web!D"&amp;SUM(18,38*1,7))))</f>
        <v/>
      </c>
      <c r="AL26" s="75" t="str" cm="1">
        <f t="array" aca="1" ref="AL26" ca="1">IF($B26="","",IF(ISBLANK(INDIRECT("R9.Web!D"&amp;SUM(18,38*2,7))),"",INDIRECT("R9.Web!D"&amp;SUM(18,38*2,7))))</f>
        <v/>
      </c>
      <c r="AM26" s="75" t="str" cm="1">
        <f t="array" aca="1" ref="AM26" ca="1">IF($B26="","",IF(ISBLANK(INDIRECT("R9.Web!D"&amp;SUM(18,38*3,7))),"",INDIRECT("R9.Web!D"&amp;SUM(18,38*3,7))))</f>
        <v/>
      </c>
      <c r="AN26" s="75" t="str" cm="1">
        <f t="array" aca="1" ref="AN26" ca="1">IF($B26="","",IF(ISBLANK(INDIRECT("R9.Web!D"&amp;SUM(18,38*4,7))),"",INDIRECT("R9.Web!D"&amp;SUM(18,38*4,7))))</f>
        <v/>
      </c>
      <c r="AO26" s="75" t="str" cm="1">
        <f t="array" aca="1" ref="AO26" ca="1">IF($B26="","",IF(ISBLANK(INDIRECT("R9.Web!D"&amp;SUM(18,38*5,7))),"",INDIRECT("R9.Web!D"&amp;SUM(18,38*5,7))))</f>
        <v/>
      </c>
      <c r="AP26" s="75" t="str" cm="1">
        <f t="array" aca="1" ref="AP26" ca="1">IF($B26="","",IF(ISBLANK(INDIRECT("R9.Web!D"&amp;SUM(18,38*6,7))),"",INDIRECT("R9.Web!D"&amp;SUM(18,38*6,7))))</f>
        <v/>
      </c>
      <c r="AQ26" s="75" t="str" cm="1">
        <f t="array" aca="1" ref="AQ26" ca="1">IF($B26="","",IF(ISBLANK(INDIRECT("R9.Web!D"&amp;SUM(18,38*7,7))),"",INDIRECT("R9.Web!D"&amp;SUM(18,38*7,7))))</f>
        <v/>
      </c>
      <c r="AR26" s="75" t="str" cm="1">
        <f t="array" aca="1" ref="AR26" ca="1">IF($B26="","",IF(ISBLANK(INDIRECT("R9.Web!D"&amp;SUM(18,38*8,7))),"",INDIRECT("R9.Web!D"&amp;SUM(18,38*8,7))))</f>
        <v/>
      </c>
      <c r="AS26" s="75" t="str" cm="1">
        <f t="array" aca="1" ref="AS26" ca="1">IF($B26="","",IF(ISBLANK(INDIRECT("R9.Web!D"&amp;SUM(18,38*9,7))),"",INDIRECT("R9.Web!D"&amp;SUM(18,38*9,7))))</f>
        <v/>
      </c>
      <c r="AT26" s="75" t="str" cm="1">
        <f t="array" aca="1" ref="AT26" ca="1">IF($B26="","",IF(ISBLANK(INDIRECT("R9.Web!D"&amp;SUM(18,38*10,7))),"",INDIRECT("R9.Web!D"&amp;SUM(18,38*10,7))))</f>
        <v/>
      </c>
      <c r="AU26" s="75" t="str" cm="1">
        <f t="array" aca="1" ref="AU26" ca="1">IF($B26="","",IF(ISBLANK(INDIRECT("R9.Web!D"&amp;SUM(18,38*11,7))),"",INDIRECT("R9.Web!D"&amp;SUM(18,38*11,7))))</f>
        <v/>
      </c>
      <c r="AV26" s="75" t="str" cm="1">
        <f t="array" aca="1" ref="AV26" ca="1">IF($B26="","",IF(ISBLANK(INDIRECT("R9.Web!D"&amp;SUM(18,38*12,7))),"",INDIRECT("R9.Web!D"&amp;SUM(18,38*12,7))))</f>
        <v/>
      </c>
      <c r="AW26" s="75" t="str" cm="1">
        <f t="array" aca="1" ref="AW26" ca="1">IF($B26="","",IF(ISBLANK(INDIRECT("R9.Web!D"&amp;SUM(18,38*13,7))),"",INDIRECT("R9.Web!D"&amp;SUM(18,38*13,7))))</f>
        <v/>
      </c>
      <c r="AX26" s="75" t="str" cm="1">
        <f t="array" aca="1" ref="AX26" ca="1">IF($B26="","",IF(ISBLANK(INDIRECT("R9.Web!D"&amp;SUM(18,38*14,7))),"",INDIRECT("R9.Web!D"&amp;SUM(18,38*14,7))))</f>
        <v/>
      </c>
      <c r="AY26" s="75" t="str" cm="1">
        <f t="array" aca="1" ref="AY26" ca="1">IF($B26="","",IF(ISBLANK(INDIRECT("R9.Web!D"&amp;SUM(18,38*15,7))),"",INDIRECT("R9.Web!D"&amp;SUM(18,38*15,7))))</f>
        <v/>
      </c>
      <c r="AZ26" s="75" t="str" cm="1">
        <f t="array" aca="1" ref="AZ26" ca="1">IF($B26="","",IF(ISBLANK(INDIRECT("R9.Web!D"&amp;SUM(18,38*16,7))),"",INDIRECT("R9.Web!D"&amp;SUM(18,38*16,7))))</f>
        <v/>
      </c>
      <c r="BA26" s="75" t="str" cm="1">
        <f t="array" aca="1" ref="BA26" ca="1">IF($B26="","",IF(ISBLANK(INDIRECT("R9.Web!D"&amp;SUM(18,38*17,7))),"",INDIRECT("R9.Web!D"&amp;SUM(18,38*17,7))))</f>
        <v/>
      </c>
      <c r="BB26" s="75" t="str" cm="1">
        <f t="array" aca="1" ref="BB26" ca="1">IF($B26="","",IF(ISBLANK(INDIRECT("R9.Web!D"&amp;SUM(18,38*18,7))),"",INDIRECT("R9.Web!D"&amp;SUM(18,38*18,7))))</f>
        <v/>
      </c>
      <c r="BC26" s="75" t="str" cm="1">
        <f t="array" aca="1" ref="BC26" ca="1">IF($B26="","",IF(ISBLANK(INDIRECT("R9.Web!D"&amp;SUM(18,38*19,7))),"",INDIRECT("R9.Web!D"&amp;SUM(18,38*19,7))))</f>
        <v/>
      </c>
      <c r="BD26" s="75" t="str" cm="1">
        <f t="array" aca="1" ref="BD26" ca="1">IF($B26="","",IF(ISBLANK(INDIRECT("R9.Web!D"&amp;SUM(18,38*20,7))),"",INDIRECT("R9.Web!D"&amp;SUM(18,38*20,7))))</f>
        <v/>
      </c>
      <c r="BE26" s="75" t="str" cm="1">
        <f t="array" aca="1" ref="BE26" ca="1">IF($B26="","",IF(ISBLANK(INDIRECT("R9.Web!D"&amp;SUM(18,38*21,7))),"",INDIRECT("R9.Web!D"&amp;SUM(18,38*21,7))))</f>
        <v/>
      </c>
      <c r="BF26" s="75" t="str" cm="1">
        <f t="array" aca="1" ref="BF26" ca="1">IF($B26="","",IF(ISBLANK(INDIRECT("R9.Web!D"&amp;SUM(18,38*22,7))),"",INDIRECT("R9.Web!D"&amp;SUM(18,38*22,7))))</f>
        <v/>
      </c>
      <c r="BG26" s="75" t="str" cm="1">
        <f t="array" aca="1" ref="BG26" ca="1">IF($B26="","",IF(ISBLANK(INDIRECT("R9.Web!D"&amp;SUM(18,38*23,7))),"",INDIRECT("R9.Web!D"&amp;SUM(18,38*23,7))))</f>
        <v/>
      </c>
      <c r="BH26" s="75" t="str" cm="1">
        <f t="array" aca="1" ref="BH26" ca="1">IF($B26="","",IF(ISBLANK(INDIRECT("R9.Web!D"&amp;SUM(18,38*24,7))),"",INDIRECT("R9.Web!D"&amp;SUM(18,38*24,7))))</f>
        <v/>
      </c>
      <c r="BI26" s="75" t="str" cm="1">
        <f t="array" aca="1" ref="BI26" ca="1">IF($B26="","",IF(ISBLANK(INDIRECT("R9.Web!D"&amp;SUM(18,38*25,7))),"",INDIRECT("R9.Web!D"&amp;SUM(18,38*25,7))))</f>
        <v/>
      </c>
      <c r="BJ26" s="75" t="str" cm="1">
        <f t="array" aca="1" ref="BJ26" ca="1">IF($B26="","",IF(ISBLANK(INDIRECT("R9.Web!D"&amp;SUM(18,38*26,7))),"",INDIRECT("R9.Web!D"&amp;SUM(18,38*26,7))))</f>
        <v/>
      </c>
      <c r="BK26" s="75" t="str" cm="1">
        <f t="array" aca="1" ref="BK26" ca="1">IF($B26="","",IF(ISBLANK(INDIRECT("R9.Web!D"&amp;SUM(18,38*27,7))),"",INDIRECT("R9.Web!D"&amp;SUM(18,38*27,7))))</f>
        <v/>
      </c>
      <c r="BL26" s="75" t="str" cm="1">
        <f t="array" aca="1" ref="BL26" ca="1">IF($B26="","",IF(ISBLANK(INDIRECT("R9.Web!D"&amp;SUM(18,38*28,7))),"",INDIRECT("R9.Web!D"&amp;SUM(18,38*28,7))))</f>
        <v/>
      </c>
      <c r="BM26" s="75" t="str" cm="1">
        <f t="array" aca="1" ref="BM26" ca="1">IF($B26="","",IF(ISBLANK(INDIRECT("R9.Web!D"&amp;SUM(18,38*29,7))),"",INDIRECT("R9.Web!D"&amp;SUM(18,38*29,7))))</f>
        <v/>
      </c>
      <c r="BN26" s="75" t="str" cm="1">
        <f t="array" aca="1" ref="BN26" ca="1">IF($B26="","",IF(ISBLANK(INDIRECT("R9.Web!D"&amp;SUM(18,38*30,7))),"",INDIRECT("R9.Web!D"&amp;SUM(18,38*30,7))))</f>
        <v/>
      </c>
      <c r="BO26" s="75" t="str" cm="1">
        <f t="array" aca="1" ref="BO26" ca="1">IF($B26="","",IF(ISBLANK(INDIRECT("R9.Web!D"&amp;SUM(18,38*31,7))),"",INDIRECT("R9.Web!D"&amp;SUM(18,38*31,7))))</f>
        <v/>
      </c>
      <c r="BP26" s="75" t="str" cm="1">
        <f t="array" aca="1" ref="BP26" ca="1">IF($B26="","",IF(ISBLANK(INDIRECT("R9.Web!D"&amp;SUM(18,38*32,7))),"",INDIRECT("R9.Web!D"&amp;SUM(18,38*32,7))))</f>
        <v/>
      </c>
      <c r="BQ26" s="75" t="str" cm="1">
        <f t="array" aca="1" ref="BQ26" ca="1">IF($B26="","",IF(ISBLANK(INDIRECT("R9.Web!D"&amp;SUM(18,38*33,7))),"",INDIRECT("R9.Web!D"&amp;SUM(18,38*33,7))))</f>
        <v/>
      </c>
      <c r="BR26" s="75" t="str" cm="1">
        <f t="array" aca="1" ref="BR26" ca="1">IF($B26="","",IF(ISBLANK(INDIRECT("R9.Web!D"&amp;SUM(18,38*34,7))),"",INDIRECT("R9.Web!D"&amp;SUM(18,38*34,7))))</f>
        <v/>
      </c>
      <c r="BS26" s="75" t="str" cm="1">
        <f t="array" aca="1" ref="BS26" ca="1">IF($B26="","",IF(ISBLANK(INDIRECT("R9.Web!D"&amp;SUM(18,38*35,7))),"",INDIRECT("R9.Web!D"&amp;SUM(18,38*35,7))))</f>
        <v/>
      </c>
      <c r="BT26" s="75" t="str" cm="1">
        <f t="array" aca="1" ref="BT26" ca="1">IF($B26="","",IF(ISBLANK(INDIRECT("R9.Web!D"&amp;SUM(18,38*36,7))),"",INDIRECT("R9.Web!D"&amp;SUM(18,38*36,7))))</f>
        <v/>
      </c>
      <c r="BU26" s="75" t="str" cm="1">
        <f t="array" aca="1" ref="BU26" ca="1">IF($B26="","",IF(ISBLANK(INDIRECT("R9.Web!D"&amp;SUM(18,38*37,7))),"",INDIRECT("R9.Web!D"&amp;SUM(18,38*37,7))))</f>
        <v/>
      </c>
      <c r="BV26" s="75" t="str" cm="1">
        <f t="array" aca="1" ref="BV26" ca="1">IF($B26="","",IF(ISBLANK(INDIRECT("R9.Web!D"&amp;SUM(18,38*38,7))),"",INDIRECT("R9.Web!D"&amp;SUM(18,38*38,7))))</f>
        <v/>
      </c>
      <c r="BW26" s="75" t="str" cm="1">
        <f t="array" aca="1" ref="BW26" ca="1">IF($B26="","",IF(ISBLANK(INDIRECT("R9.Web!D"&amp;SUM(18,38*39,7))),"",INDIRECT("R9.Web!D"&amp;SUM(18,38*39,7))))</f>
        <v/>
      </c>
      <c r="BX26" s="75" t="str" cm="1">
        <f t="array" aca="1" ref="BX26" ca="1">IF($B26="","",IF(ISBLANK(INDIRECT("R9.Web!D"&amp;SUM(18,38*40,7))),"",INDIRECT("R9.Web!D"&amp;SUM(18,38*40,7))))</f>
        <v/>
      </c>
      <c r="BY26" s="75" t="str" cm="1">
        <f t="array" aca="1" ref="BY26" ca="1">IF($B26="","",IF(ISBLANK(INDIRECT("R9.Web!D"&amp;SUM(18,38*41,7))),"",INDIRECT("R9.Web!D"&amp;SUM(18,38*41,7))))</f>
        <v/>
      </c>
      <c r="BZ26" s="75" t="str" cm="1">
        <f t="array" aca="1" ref="BZ26" ca="1">IF($B26="","",IF(ISBLANK(INDIRECT("R9.Web!D"&amp;SUM(18,38*42,7))),"",INDIRECT("R9.Web!D"&amp;SUM(18,38*42,7))))</f>
        <v/>
      </c>
      <c r="CA26" s="75" t="str" cm="1">
        <f t="array" aca="1" ref="CA26" ca="1">IF($B26="","",IF(ISBLANK(INDIRECT("R9.Web!D"&amp;SUM(18,38*43,7))),"",INDIRECT("R9.Web!D"&amp;SUM(18,38*43,7))))</f>
        <v/>
      </c>
      <c r="CB26" s="75" t="str" cm="1">
        <f t="array" aca="1" ref="CB26" ca="1">IF($B26="","",IF(ISBLANK(INDIRECT("R9.Web!D"&amp;SUM(18,38*44,7))),"",INDIRECT("R9.Web!D"&amp;SUM(18,38*44,7))))</f>
        <v/>
      </c>
      <c r="CC26" s="75" t="str" cm="1">
        <f t="array" aca="1" ref="CC26" ca="1">IF($B26="","",IF(ISBLANK(INDIRECT("R9.Web!D"&amp;SUM(18,38*45,7))),"",INDIRECT("R9.Web!D"&amp;SUM(18,38*45,7))))</f>
        <v/>
      </c>
      <c r="CD26" s="75" t="str" cm="1">
        <f t="array" aca="1" ref="CD26" ca="1">IF($B26="","",IF(ISBLANK(INDIRECT("R9.Web!D"&amp;SUM(18,38*46,7))),"",INDIRECT("R9.Web!D"&amp;SUM(18,38*46,7))))</f>
        <v/>
      </c>
      <c r="CE26" s="75" t="str" cm="1">
        <f t="array" aca="1" ref="CE26" ca="1">IF($B26="","",IF(ISBLANK(INDIRECT("R9.Web!D"&amp;SUM(18,38*47,7))),"",INDIRECT("R9.Web!D"&amp;SUM(18,38*47,7))))</f>
        <v/>
      </c>
      <c r="CF26" s="75" t="str" cm="1">
        <f t="array" aca="1" ref="CF26" ca="1">IF($B26="","",IF(ISBLANK(INDIRECT("R9.Web!D"&amp;SUM(18,38*48,7))),"",INDIRECT("R9.Web!D"&amp;SUM(18,38*48,7))))</f>
        <v/>
      </c>
      <c r="CG26" s="75" t="str" cm="1">
        <f t="array" aca="1" ref="CG26" ca="1">IF($B26="","",IF(ISBLANK(INDIRECT("R9.Web!D"&amp;SUM(18,38*49,7))),"",INDIRECT("R9.Web!D"&amp;SUM(18,38*49,7))))</f>
        <v/>
      </c>
      <c r="CH26" s="75" t="str" cm="1">
        <f t="array" aca="1" ref="CH26" ca="1">IF($B26="","",IF(ISBLANK(INDIRECT("R11.Software!D"&amp;SUM(18,38*0,7))),"",INDIRECT("R11.Software!D"&amp;SUM(18,38*0,7))))</f>
        <v/>
      </c>
      <c r="CI26" s="75" t="str" cm="1">
        <f t="array" aca="1" ref="CI26" ca="1">IF($B26="","",IF(ISBLANK(INDIRECT("R11.Software!D"&amp;SUM(18,38*1,7))),"",INDIRECT("R11.Software!D"&amp;SUM(18,38*1,7))))</f>
        <v/>
      </c>
      <c r="CJ26" s="75" t="str" cm="1">
        <f t="array" aca="1" ref="CJ26" ca="1">IF($B26="","",IF(ISBLANK(INDIRECT("R11.Software!D"&amp;SUM(18,38*2,7))),"",INDIRECT("R11.Software!D"&amp;SUM(18,38*2,7))))</f>
        <v/>
      </c>
      <c r="CK26" s="75" t="str" cm="1">
        <f t="array" aca="1" ref="CK26" ca="1">IF($B26="","",IF(ISBLANK(INDIRECT("R11.Software!D"&amp;SUM(18,38*3,7))),"",INDIRECT("R11.Software!D"&amp;SUM(18,38*3,7))))</f>
        <v/>
      </c>
      <c r="CL26" s="75" t="str" cm="1">
        <f t="array" aca="1" ref="CL26" ca="1">IF($B26="","",IF(ISBLANK(INDIRECT("R11.Software!D"&amp;SUM(18,38*4,7))),"",INDIRECT("R11.Software!D"&amp;SUM(18,38*4,7))))</f>
        <v/>
      </c>
      <c r="CM26" s="75" t="str" cm="1">
        <f t="array" aca="1" ref="CM26" ca="1">IF($B26="","",IF(ISBLANK(INDIRECT("R11.Software!D"&amp;SUM(18,38*5,7))),"",INDIRECT("R11.Software!D"&amp;SUM(18,38*5,7))))</f>
        <v/>
      </c>
      <c r="CN26" s="75" t="str" cm="1">
        <f t="array" aca="1" ref="CN26" ca="1">IF($B26="","",IF(ISBLANK(INDIRECT("R12.ServiciosApoyo!D"&amp;SUM(18,38*0,7))),"",INDIRECT("R12.ServiciosApoyo!D"&amp;SUM(18,38*0,7))))</f>
        <v/>
      </c>
      <c r="CO26" s="75" t="str" cm="1">
        <f t="array" aca="1" ref="CO26" ca="1">IF($B26="","",IF(ISBLANK(INDIRECT("R12.ServiciosApoyo!D"&amp;SUM(18,38*1,7))),"",INDIRECT("R12.ServiciosApoyo!D"&amp;SUM(18,38*1,7))))</f>
        <v/>
      </c>
      <c r="CP26" s="75" t="str" cm="1">
        <f t="array" aca="1" ref="CP26" ca="1">IF($B26="","",IF(ISBLANK(INDIRECT("R12.ServiciosApoyo!D"&amp;SUM(18,38*2,7))),"",INDIRECT("R12.ServiciosApoyo!D"&amp;SUM(18,38*2,7))))</f>
        <v/>
      </c>
      <c r="CQ26" s="75" t="str" cm="1">
        <f t="array" aca="1" ref="CQ26" ca="1">IF($B26="","",IF(ISBLANK(INDIRECT("R12.ServiciosApoyo!D"&amp;SUM(18,38*3,7))),"",INDIRECT("R12.ServiciosApoyo!D"&amp;SUM(18,38*3,7))))</f>
        <v/>
      </c>
      <c r="CR26" s="75" t="str" cm="1">
        <f t="array" aca="1" ref="CR26" ca="1">IF($B26="","",IF(ISBLANK(INDIRECT("R12.ServiciosApoyo!D"&amp;SUM(18,38*4,7))),"",INDIRECT("R12.ServiciosApoyo!D"&amp;SUM(18,38*4,7))))</f>
        <v/>
      </c>
      <c r="CU26" s="76"/>
    </row>
    <row r="27" spans="2:100" ht="20.399999999999999">
      <c r="B27" s="39" t="str" cm="1">
        <f t="array" ref="B27">IFERROR(INDEX('03.Muestra'!$B$8:$B$42,SMALL(IF("Página Web"='03.Muestra'!$D$8:$D$42,ROW('03.Muestra'!$B$8:$B$42)-MIN(ROW('03.Muestra'!$D$8:$D$42))+1,""),ROW()-19)),"")</f>
        <v/>
      </c>
      <c r="C27" s="73" t="str" cm="1">
        <f t="array" ref="C27">IFERROR(INDEX('03.Muestra'!$C$8:$C$42,SMALL(IF("Página Web"='03.Muestra'!$D$8:$D$42,ROW('03.Muestra'!$C$8:$C$42)-MIN(ROW('03.Muestra'!$D$8:$D$42))+1,""),ROW()-19)),"")</f>
        <v/>
      </c>
      <c r="D27" s="74" t="str" cm="1">
        <f t="array" ref="D27">IFERROR(INDEX('03.Muestra'!$F$8:$F$42,SMALL(IF("Página Web"='03.Muestra'!$D$8:$D$42,ROW('03.Muestra'!$F$8:$F$42)-MIN(ROW('03.Muestra'!$D$8:$D$42))+1,""),ROW()-19)),"")</f>
        <v/>
      </c>
      <c r="E27" s="75" t="str" cm="1">
        <f t="array" aca="1" ref="E27" ca="1">IF($B27="","",IF(ISBLANK(INDIRECT("R5.Genéricos!D"&amp;SUM(18,38*0,8))),"",INDIRECT("R5.Genéricos!D"&amp;SUM(18,38*0,8))))</f>
        <v/>
      </c>
      <c r="F27" s="75" t="str" cm="1">
        <f t="array" aca="1" ref="F27" ca="1">IF($B27="","",IF(ISBLANK(INDIRECT("R5.Genéricos!D"&amp;SUM(18,38*1,8))),"",INDIRECT("R5.Genéricos!D"&amp;SUM(18,38*1,8))))</f>
        <v/>
      </c>
      <c r="G27" s="75" t="str" cm="1">
        <f t="array" aca="1" ref="G27" ca="1">IF($B27="","",IF(ISBLANK(INDIRECT("R5.Genéricos!D"&amp;SUM(18,38*2,8))),"",INDIRECT("R5.Genéricos!D"&amp;SUM(18,38*2,8))))</f>
        <v/>
      </c>
      <c r="H27" s="75" t="str" cm="1">
        <f t="array" aca="1" ref="H27" ca="1">IF($B27="","",IF(ISBLANK(INDIRECT("R6.Voz!D"&amp;SUM(18,38*0,8))),"",INDIRECT("R6.Voz!D"&amp;SUM(18,38*0,8))))</f>
        <v/>
      </c>
      <c r="I27" s="75" t="str" cm="1">
        <f t="array" aca="1" ref="I27" ca="1">IF($B27="","",IF(ISBLANK(INDIRECT("R6.Voz!D"&amp;SUM(18,38*1,8))),"",INDIRECT("R6.Voz!D"&amp;SUM(18,38*1,8))))</f>
        <v/>
      </c>
      <c r="J27" s="75" t="str" cm="1">
        <f t="array" aca="1" ref="J27" ca="1">IF($B27="","",IF(ISBLANK(INDIRECT("R6.Voz!D"&amp;SUM(18,38*2,8))),"",INDIRECT("R6.Voz!D"&amp;SUM(18,38*2,8))))</f>
        <v/>
      </c>
      <c r="K27" s="75" t="str" cm="1">
        <f t="array" aca="1" ref="K27" ca="1">IF($B27="","",IF(ISBLANK(INDIRECT("R6.Voz!D"&amp;SUM(18,38*3,8))),"",INDIRECT("R6.Voz!D"&amp;SUM(18,38*3,8))))</f>
        <v/>
      </c>
      <c r="L27" s="75" t="str" cm="1">
        <f t="array" aca="1" ref="L27" ca="1">IF($B27="","",IF(ISBLANK(INDIRECT("R6.Voz!D"&amp;SUM(18,38*4,8))),"",INDIRECT("R6.Voz!D"&amp;SUM(18,38*4,8))))</f>
        <v/>
      </c>
      <c r="M27" s="75" t="str" cm="1">
        <f t="array" aca="1" ref="M27" ca="1">IF($B27="","",IF(ISBLANK(INDIRECT("R6.Voz!D"&amp;SUM(18,38*5,8))),"",INDIRECT("R6.Voz!D"&amp;SUM(18,38*5,8))))</f>
        <v/>
      </c>
      <c r="N27" s="75" t="str" cm="1">
        <f t="array" aca="1" ref="N27" ca="1">IF($B27="","",IF(ISBLANK(INDIRECT("R6.Voz!D"&amp;SUM(18,38*6,8))),"",INDIRECT("R6.Voz!D"&amp;SUM(18,38*6,8))))</f>
        <v/>
      </c>
      <c r="O27" s="75" t="str" cm="1">
        <f t="array" aca="1" ref="O27" ca="1">IF($B27="","",IF(ISBLANK(INDIRECT("R6.Voz!D"&amp;SUM(18,38*7,8))),"",INDIRECT("R6.Voz!D"&amp;SUM(18,38*7,8))))</f>
        <v/>
      </c>
      <c r="P27" s="75" t="str" cm="1">
        <f t="array" aca="1" ref="P27" ca="1">IF($B27="","",IF(ISBLANK(INDIRECT("R6.Voz!D"&amp;SUM(18,38*8,8))),"",INDIRECT("R6.Voz!D"&amp;SUM(18,38*8,8))))</f>
        <v/>
      </c>
      <c r="Q27" s="75" t="str" cm="1">
        <f t="array" aca="1" ref="Q27" ca="1">IF($B27="","",IF(ISBLANK(INDIRECT("R6.Voz!D"&amp;SUM(18,38*9,8))),"",INDIRECT("R6.Voz!D"&amp;SUM(18,38*9,8))))</f>
        <v/>
      </c>
      <c r="R27" s="75" t="str" cm="1">
        <f t="array" aca="1" ref="R27" ca="1">IF($B27="","",IF(ISBLANK(INDIRECT("R6.Voz!D"&amp;SUM(18,38*10,8))),"",INDIRECT("R6.Voz!D"&amp;SUM(18,38*10,8))))</f>
        <v/>
      </c>
      <c r="S27" s="75" t="str" cm="1">
        <f t="array" aca="1" ref="S27" ca="1">IF($B27="","",IF(ISBLANK(INDIRECT("R6.Voz!D"&amp;SUM(18,38*11,8))),"",INDIRECT("R6.Voz!D"&amp;SUM(18,38*11,8))))</f>
        <v/>
      </c>
      <c r="T27" s="75" t="str" cm="1">
        <f t="array" aca="1" ref="T27" ca="1">IF($B27="","",IF(ISBLANK(INDIRECT("R6.Voz!D"&amp;SUM(18,38*12,8))),"",INDIRECT("R6.Voz!D"&amp;SUM(18,38*12,8))))</f>
        <v/>
      </c>
      <c r="U27" s="75" t="str" cm="1">
        <f t="array" aca="1" ref="U27" ca="1">IF($B27="","",IF(ISBLANK(INDIRECT("R6.Voz!D"&amp;SUM(18,38*13,8))),"",INDIRECT("R6.Voz!D"&amp;SUM(18,38*13,8))))</f>
        <v/>
      </c>
      <c r="V27" s="75" t="str" cm="1">
        <f t="array" aca="1" ref="V27" ca="1">IF($B27="","",IF(ISBLANK(INDIRECT("R6.Voz!D"&amp;SUM(18,38*14,8))),"",INDIRECT("R6.Voz!D"&amp;SUM(18,38*14,8))))</f>
        <v/>
      </c>
      <c r="W27" s="75" t="str" cm="1">
        <f t="array" aca="1" ref="W27" ca="1">IF($B27="","",IF(ISBLANK(INDIRECT("R6.Voz!D"&amp;SUM(18,38*15,8))),"",INDIRECT("R6.Voz!D"&amp;SUM(18,38*15,8))))</f>
        <v/>
      </c>
      <c r="X27" s="75" t="str" cm="1">
        <f t="array" aca="1" ref="X27" ca="1">IF($B27="","",IF(ISBLANK(INDIRECT("R6.Voz!D"&amp;SUM(18,38*16,8))),"",INDIRECT("R6.Voz!D"&amp;SUM(18,38*16,8))))</f>
        <v/>
      </c>
      <c r="Y27" s="75" t="str" cm="1">
        <f t="array" aca="1" ref="Y27" ca="1">IF($B27="","",IF(ISBLANK(INDIRECT("R6.Voz!D"&amp;SUM(18,38*17,8))),"",INDIRECT("R6.Voz!D"&amp;SUM(18,38*17,8))))</f>
        <v/>
      </c>
      <c r="Z27" s="75" t="str" cm="1">
        <f t="array" aca="1" ref="Z27" ca="1">IF($B27="","",IF(ISBLANK(INDIRECT("R6.Voz!D"&amp;SUM(18,38*18,8))),"",INDIRECT("R6.Voz!D"&amp;SUM(18,38*18,8))))</f>
        <v/>
      </c>
      <c r="AA27" s="75" t="str" cm="1">
        <f t="array" aca="1" ref="AA27" ca="1">IF($B27="","",IF(ISBLANK(INDIRECT("R7.Video!D"&amp;SUM(18,38*0,8))),"",INDIRECT("R7.Video!D"&amp;SUM(18,38*0,8))))</f>
        <v/>
      </c>
      <c r="AB27" s="75" t="str" cm="1">
        <f t="array" aca="1" ref="AB27" ca="1">IF($B27="","",IF(ISBLANK(INDIRECT("R7.Video!D"&amp;SUM(18,38*1,8))),"",INDIRECT("R7.Video!D"&amp;SUM(18,38*1,8))))</f>
        <v/>
      </c>
      <c r="AC27" s="75" t="str" cm="1">
        <f t="array" aca="1" ref="AC27" ca="1">IF($B27="","",IF(ISBLANK(INDIRECT("R7.Video!D"&amp;SUM(18,38*2,8))),"",INDIRECT("R7.Video!D"&amp;SUM(18,38*2,8))))</f>
        <v/>
      </c>
      <c r="AD27" s="75" t="str" cm="1">
        <f t="array" aca="1" ref="AD27" ca="1">IF($B27="","",IF(ISBLANK(INDIRECT("R7.Video!D"&amp;SUM(18,38*3,8))),"",INDIRECT("R7.Video!D"&amp;SUM(18,38*3,8))))</f>
        <v/>
      </c>
      <c r="AE27" s="75" t="str" cm="1">
        <f t="array" aca="1" ref="AE27" ca="1">IF($B27="","",IF(ISBLANK(INDIRECT("R7.Video!D"&amp;SUM(18,38*4,8))),"",INDIRECT("R7.Video!D"&amp;SUM(18,38*4,8))))</f>
        <v/>
      </c>
      <c r="AF27" s="75" t="str" cm="1">
        <f t="array" aca="1" ref="AF27" ca="1">IF($B27="","",IF(ISBLANK(INDIRECT("R7.Video!D"&amp;SUM(18,38*5,8))),"",INDIRECT("R7.Video!D"&amp;SUM(18,38*5,8))))</f>
        <v/>
      </c>
      <c r="AG27" s="75" t="str" cm="1">
        <f t="array" aca="1" ref="AG27" ca="1">IF($B27="","",IF(ISBLANK(INDIRECT("R7.Video!D"&amp;SUM(18,38*6,8))),"",INDIRECT("R7.Video!D"&amp;SUM(18,38*6,8))))</f>
        <v/>
      </c>
      <c r="AH27" s="75" t="str" cm="1">
        <f t="array" aca="1" ref="AH27" ca="1">IF($B27="","",IF(ISBLANK(INDIRECT("R7.Video!D"&amp;SUM(18,38*7,8))),"",INDIRECT("R7.Video!D"&amp;SUM(18,38*7,8))))</f>
        <v/>
      </c>
      <c r="AI27" s="75" t="str" cm="1">
        <f t="array" aca="1" ref="AI27" ca="1">IF($B27="","",IF(ISBLANK(INDIRECT("R7.Video!D"&amp;SUM(18,38*8,8))),"",INDIRECT("R7.Video!D"&amp;SUM(18,38*8,8))))</f>
        <v/>
      </c>
      <c r="AJ27" s="75" t="str" cm="1">
        <f t="array" aca="1" ref="AJ27" ca="1">IF($B27="","",IF(ISBLANK(INDIRECT("R9.Web!D"&amp;SUM(18,38*0,8))),"",INDIRECT("R9.Web!D"&amp;SUM(18,38*0,8))))</f>
        <v/>
      </c>
      <c r="AK27" s="75" t="str" cm="1">
        <f t="array" aca="1" ref="AK27" ca="1">IF($B27="","",IF(ISBLANK(INDIRECT("R9.Web!D"&amp;SUM(18,38*1,8))),"",INDIRECT("R9.Web!D"&amp;SUM(18,38*1,8))))</f>
        <v/>
      </c>
      <c r="AL27" s="75" t="str" cm="1">
        <f t="array" aca="1" ref="AL27" ca="1">IF($B27="","",IF(ISBLANK(INDIRECT("R9.Web!D"&amp;SUM(18,38*2,8))),"",INDIRECT("R9.Web!D"&amp;SUM(18,38*2,8))))</f>
        <v/>
      </c>
      <c r="AM27" s="75" t="str" cm="1">
        <f t="array" aca="1" ref="AM27" ca="1">IF($B27="","",IF(ISBLANK(INDIRECT("R9.Web!D"&amp;SUM(18,38*3,8))),"",INDIRECT("R9.Web!D"&amp;SUM(18,38*3,8))))</f>
        <v/>
      </c>
      <c r="AN27" s="75" t="str" cm="1">
        <f t="array" aca="1" ref="AN27" ca="1">IF($B27="","",IF(ISBLANK(INDIRECT("R9.Web!D"&amp;SUM(18,38*4,8))),"",INDIRECT("R9.Web!D"&amp;SUM(18,38*4,8))))</f>
        <v/>
      </c>
      <c r="AO27" s="75" t="str" cm="1">
        <f t="array" aca="1" ref="AO27" ca="1">IF($B27="","",IF(ISBLANK(INDIRECT("R9.Web!D"&amp;SUM(18,38*5,8))),"",INDIRECT("R9.Web!D"&amp;SUM(18,38*5,8))))</f>
        <v/>
      </c>
      <c r="AP27" s="75" t="str" cm="1">
        <f t="array" aca="1" ref="AP27" ca="1">IF($B27="","",IF(ISBLANK(INDIRECT("R9.Web!D"&amp;SUM(18,38*6,8))),"",INDIRECT("R9.Web!D"&amp;SUM(18,38*6,8))))</f>
        <v/>
      </c>
      <c r="AQ27" s="75" t="str" cm="1">
        <f t="array" aca="1" ref="AQ27" ca="1">IF($B27="","",IF(ISBLANK(INDIRECT("R9.Web!D"&amp;SUM(18,38*7,8))),"",INDIRECT("R9.Web!D"&amp;SUM(18,38*7,8))))</f>
        <v/>
      </c>
      <c r="AR27" s="75" t="str" cm="1">
        <f t="array" aca="1" ref="AR27" ca="1">IF($B27="","",IF(ISBLANK(INDIRECT("R9.Web!D"&amp;SUM(18,38*8,8))),"",INDIRECT("R9.Web!D"&amp;SUM(18,38*8,8))))</f>
        <v/>
      </c>
      <c r="AS27" s="75" t="str" cm="1">
        <f t="array" aca="1" ref="AS27" ca="1">IF($B27="","",IF(ISBLANK(INDIRECT("R9.Web!D"&amp;SUM(18,38*9,8))),"",INDIRECT("R9.Web!D"&amp;SUM(18,38*9,8))))</f>
        <v/>
      </c>
      <c r="AT27" s="75" t="str" cm="1">
        <f t="array" aca="1" ref="AT27" ca="1">IF($B27="","",IF(ISBLANK(INDIRECT("R9.Web!D"&amp;SUM(18,38*10,8))),"",INDIRECT("R9.Web!D"&amp;SUM(18,38*10,8))))</f>
        <v/>
      </c>
      <c r="AU27" s="75" t="str" cm="1">
        <f t="array" aca="1" ref="AU27" ca="1">IF($B27="","",IF(ISBLANK(INDIRECT("R9.Web!D"&amp;SUM(18,38*11,8))),"",INDIRECT("R9.Web!D"&amp;SUM(18,38*11,8))))</f>
        <v/>
      </c>
      <c r="AV27" s="75" t="str" cm="1">
        <f t="array" aca="1" ref="AV27" ca="1">IF($B27="","",IF(ISBLANK(INDIRECT("R9.Web!D"&amp;SUM(18,38*12,8))),"",INDIRECT("R9.Web!D"&amp;SUM(18,38*12,8))))</f>
        <v/>
      </c>
      <c r="AW27" s="75" t="str" cm="1">
        <f t="array" aca="1" ref="AW27" ca="1">IF($B27="","",IF(ISBLANK(INDIRECT("R9.Web!D"&amp;SUM(18,38*13,8))),"",INDIRECT("R9.Web!D"&amp;SUM(18,38*13,8))))</f>
        <v/>
      </c>
      <c r="AX27" s="75" t="str" cm="1">
        <f t="array" aca="1" ref="AX27" ca="1">IF($B27="","",IF(ISBLANK(INDIRECT("R9.Web!D"&amp;SUM(18,38*14,8))),"",INDIRECT("R9.Web!D"&amp;SUM(18,38*14,8))))</f>
        <v/>
      </c>
      <c r="AY27" s="75" t="str" cm="1">
        <f t="array" aca="1" ref="AY27" ca="1">IF($B27="","",IF(ISBLANK(INDIRECT("R9.Web!D"&amp;SUM(18,38*15,8))),"",INDIRECT("R9.Web!D"&amp;SUM(18,38*15,8))))</f>
        <v/>
      </c>
      <c r="AZ27" s="75" t="str" cm="1">
        <f t="array" aca="1" ref="AZ27" ca="1">IF($B27="","",IF(ISBLANK(INDIRECT("R9.Web!D"&amp;SUM(18,38*16,8))),"",INDIRECT("R9.Web!D"&amp;SUM(18,38*16,8))))</f>
        <v/>
      </c>
      <c r="BA27" s="75" t="str" cm="1">
        <f t="array" aca="1" ref="BA27" ca="1">IF($B27="","",IF(ISBLANK(INDIRECT("R9.Web!D"&amp;SUM(18,38*17,8))),"",INDIRECT("R9.Web!D"&amp;SUM(18,38*17,8))))</f>
        <v/>
      </c>
      <c r="BB27" s="75" t="str" cm="1">
        <f t="array" aca="1" ref="BB27" ca="1">IF($B27="","",IF(ISBLANK(INDIRECT("R9.Web!D"&amp;SUM(18,38*18,8))),"",INDIRECT("R9.Web!D"&amp;SUM(18,38*18,8))))</f>
        <v/>
      </c>
      <c r="BC27" s="75" t="str" cm="1">
        <f t="array" aca="1" ref="BC27" ca="1">IF($B27="","",IF(ISBLANK(INDIRECT("R9.Web!D"&amp;SUM(18,38*19,8))),"",INDIRECT("R9.Web!D"&amp;SUM(18,38*19,8))))</f>
        <v/>
      </c>
      <c r="BD27" s="75" t="str" cm="1">
        <f t="array" aca="1" ref="BD27" ca="1">IF($B27="","",IF(ISBLANK(INDIRECT("R9.Web!D"&amp;SUM(18,38*20,8))),"",INDIRECT("R9.Web!D"&amp;SUM(18,38*20,8))))</f>
        <v/>
      </c>
      <c r="BE27" s="75" t="str" cm="1">
        <f t="array" aca="1" ref="BE27" ca="1">IF($B27="","",IF(ISBLANK(INDIRECT("R9.Web!D"&amp;SUM(18,38*21,8))),"",INDIRECT("R9.Web!D"&amp;SUM(18,38*21,8))))</f>
        <v/>
      </c>
      <c r="BF27" s="75" t="str" cm="1">
        <f t="array" aca="1" ref="BF27" ca="1">IF($B27="","",IF(ISBLANK(INDIRECT("R9.Web!D"&amp;SUM(18,38*22,8))),"",INDIRECT("R9.Web!D"&amp;SUM(18,38*22,8))))</f>
        <v/>
      </c>
      <c r="BG27" s="75" t="str" cm="1">
        <f t="array" aca="1" ref="BG27" ca="1">IF($B27="","",IF(ISBLANK(INDIRECT("R9.Web!D"&amp;SUM(18,38*23,8))),"",INDIRECT("R9.Web!D"&amp;SUM(18,38*23,8))))</f>
        <v/>
      </c>
      <c r="BH27" s="75" t="str" cm="1">
        <f t="array" aca="1" ref="BH27" ca="1">IF($B27="","",IF(ISBLANK(INDIRECT("R9.Web!D"&amp;SUM(18,38*24,8))),"",INDIRECT("R9.Web!D"&amp;SUM(18,38*24,8))))</f>
        <v/>
      </c>
      <c r="BI27" s="75" t="str" cm="1">
        <f t="array" aca="1" ref="BI27" ca="1">IF($B27="","",IF(ISBLANK(INDIRECT("R9.Web!D"&amp;SUM(18,38*25,8))),"",INDIRECT("R9.Web!D"&amp;SUM(18,38*25,8))))</f>
        <v/>
      </c>
      <c r="BJ27" s="75" t="str" cm="1">
        <f t="array" aca="1" ref="BJ27" ca="1">IF($B27="","",IF(ISBLANK(INDIRECT("R9.Web!D"&amp;SUM(18,38*26,8))),"",INDIRECT("R9.Web!D"&amp;SUM(18,38*26,8))))</f>
        <v/>
      </c>
      <c r="BK27" s="75" t="str" cm="1">
        <f t="array" aca="1" ref="BK27" ca="1">IF($B27="","",IF(ISBLANK(INDIRECT("R9.Web!D"&amp;SUM(18,38*27,8))),"",INDIRECT("R9.Web!D"&amp;SUM(18,38*27,8))))</f>
        <v/>
      </c>
      <c r="BL27" s="75" t="str" cm="1">
        <f t="array" aca="1" ref="BL27" ca="1">IF($B27="","",IF(ISBLANK(INDIRECT("R9.Web!D"&amp;SUM(18,38*28,8))),"",INDIRECT("R9.Web!D"&amp;SUM(18,38*28,8))))</f>
        <v/>
      </c>
      <c r="BM27" s="75" t="str" cm="1">
        <f t="array" aca="1" ref="BM27" ca="1">IF($B27="","",IF(ISBLANK(INDIRECT("R9.Web!D"&amp;SUM(18,38*29,8))),"",INDIRECT("R9.Web!D"&amp;SUM(18,38*29,8))))</f>
        <v/>
      </c>
      <c r="BN27" s="75" t="str" cm="1">
        <f t="array" aca="1" ref="BN27" ca="1">IF($B27="","",IF(ISBLANK(INDIRECT("R9.Web!D"&amp;SUM(18,38*30,8))),"",INDIRECT("R9.Web!D"&amp;SUM(18,38*30,8))))</f>
        <v/>
      </c>
      <c r="BO27" s="75" t="str" cm="1">
        <f t="array" aca="1" ref="BO27" ca="1">IF($B27="","",IF(ISBLANK(INDIRECT("R9.Web!D"&amp;SUM(18,38*31,8))),"",INDIRECT("R9.Web!D"&amp;SUM(18,38*31,8))))</f>
        <v/>
      </c>
      <c r="BP27" s="75" t="str" cm="1">
        <f t="array" aca="1" ref="BP27" ca="1">IF($B27="","",IF(ISBLANK(INDIRECT("R9.Web!D"&amp;SUM(18,38*32,8))),"",INDIRECT("R9.Web!D"&amp;SUM(18,38*32,8))))</f>
        <v/>
      </c>
      <c r="BQ27" s="75" t="str" cm="1">
        <f t="array" aca="1" ref="BQ27" ca="1">IF($B27="","",IF(ISBLANK(INDIRECT("R9.Web!D"&amp;SUM(18,38*33,8))),"",INDIRECT("R9.Web!D"&amp;SUM(18,38*33,8))))</f>
        <v/>
      </c>
      <c r="BR27" s="75" t="str" cm="1">
        <f t="array" aca="1" ref="BR27" ca="1">IF($B27="","",IF(ISBLANK(INDIRECT("R9.Web!D"&amp;SUM(18,38*34,8))),"",INDIRECT("R9.Web!D"&amp;SUM(18,38*34,8))))</f>
        <v/>
      </c>
      <c r="BS27" s="75" t="str" cm="1">
        <f t="array" aca="1" ref="BS27" ca="1">IF($B27="","",IF(ISBLANK(INDIRECT("R9.Web!D"&amp;SUM(18,38*35,8))),"",INDIRECT("R9.Web!D"&amp;SUM(18,38*35,8))))</f>
        <v/>
      </c>
      <c r="BT27" s="75" t="str" cm="1">
        <f t="array" aca="1" ref="BT27" ca="1">IF($B27="","",IF(ISBLANK(INDIRECT("R9.Web!D"&amp;SUM(18,38*36,8))),"",INDIRECT("R9.Web!D"&amp;SUM(18,38*36,8))))</f>
        <v/>
      </c>
      <c r="BU27" s="75" t="str" cm="1">
        <f t="array" aca="1" ref="BU27" ca="1">IF($B27="","",IF(ISBLANK(INDIRECT("R9.Web!D"&amp;SUM(18,38*37,8))),"",INDIRECT("R9.Web!D"&amp;SUM(18,38*37,8))))</f>
        <v/>
      </c>
      <c r="BV27" s="75" t="str" cm="1">
        <f t="array" aca="1" ref="BV27" ca="1">IF($B27="","",IF(ISBLANK(INDIRECT("R9.Web!D"&amp;SUM(18,38*38,8))),"",INDIRECT("R9.Web!D"&amp;SUM(18,38*38,8))))</f>
        <v/>
      </c>
      <c r="BW27" s="75" t="str" cm="1">
        <f t="array" aca="1" ref="BW27" ca="1">IF($B27="","",IF(ISBLANK(INDIRECT("R9.Web!D"&amp;SUM(18,38*39,8))),"",INDIRECT("R9.Web!D"&amp;SUM(18,38*39,8))))</f>
        <v/>
      </c>
      <c r="BX27" s="75" t="str" cm="1">
        <f t="array" aca="1" ref="BX27" ca="1">IF($B27="","",IF(ISBLANK(INDIRECT("R9.Web!D"&amp;SUM(18,38*40,8))),"",INDIRECT("R9.Web!D"&amp;SUM(18,38*40,8))))</f>
        <v/>
      </c>
      <c r="BY27" s="75" t="str" cm="1">
        <f t="array" aca="1" ref="BY27" ca="1">IF($B27="","",IF(ISBLANK(INDIRECT("R9.Web!D"&amp;SUM(18,38*41,8))),"",INDIRECT("R9.Web!D"&amp;SUM(18,38*41,8))))</f>
        <v/>
      </c>
      <c r="BZ27" s="75" t="str" cm="1">
        <f t="array" aca="1" ref="BZ27" ca="1">IF($B27="","",IF(ISBLANK(INDIRECT("R9.Web!D"&amp;SUM(18,38*42,8))),"",INDIRECT("R9.Web!D"&amp;SUM(18,38*42,8))))</f>
        <v/>
      </c>
      <c r="CA27" s="75" t="str" cm="1">
        <f t="array" aca="1" ref="CA27" ca="1">IF($B27="","",IF(ISBLANK(INDIRECT("R9.Web!D"&amp;SUM(18,38*43,8))),"",INDIRECT("R9.Web!D"&amp;SUM(18,38*43,8))))</f>
        <v/>
      </c>
      <c r="CB27" s="75" t="str" cm="1">
        <f t="array" aca="1" ref="CB27" ca="1">IF($B27="","",IF(ISBLANK(INDIRECT("R9.Web!D"&amp;SUM(18,38*44,8))),"",INDIRECT("R9.Web!D"&amp;SUM(18,38*44,8))))</f>
        <v/>
      </c>
      <c r="CC27" s="75" t="str" cm="1">
        <f t="array" aca="1" ref="CC27" ca="1">IF($B27="","",IF(ISBLANK(INDIRECT("R9.Web!D"&amp;SUM(18,38*45,8))),"",INDIRECT("R9.Web!D"&amp;SUM(18,38*45,8))))</f>
        <v/>
      </c>
      <c r="CD27" s="75" t="str" cm="1">
        <f t="array" aca="1" ref="CD27" ca="1">IF($B27="","",IF(ISBLANK(INDIRECT("R9.Web!D"&amp;SUM(18,38*46,8))),"",INDIRECT("R9.Web!D"&amp;SUM(18,38*46,8))))</f>
        <v/>
      </c>
      <c r="CE27" s="75" t="str" cm="1">
        <f t="array" aca="1" ref="CE27" ca="1">IF($B27="","",IF(ISBLANK(INDIRECT("R9.Web!D"&amp;SUM(18,38*47,8))),"",INDIRECT("R9.Web!D"&amp;SUM(18,38*47,8))))</f>
        <v/>
      </c>
      <c r="CF27" s="75" t="str" cm="1">
        <f t="array" aca="1" ref="CF27" ca="1">IF($B27="","",IF(ISBLANK(INDIRECT("R9.Web!D"&amp;SUM(18,38*48,8))),"",INDIRECT("R9.Web!D"&amp;SUM(18,38*48,8))))</f>
        <v/>
      </c>
      <c r="CG27" s="75" t="str" cm="1">
        <f t="array" aca="1" ref="CG27" ca="1">IF($B27="","",IF(ISBLANK(INDIRECT("R9.Web!D"&amp;SUM(18,38*49,8))),"",INDIRECT("R9.Web!D"&amp;SUM(18,38*49,8))))</f>
        <v/>
      </c>
      <c r="CH27" s="75" t="str" cm="1">
        <f t="array" aca="1" ref="CH27" ca="1">IF($B27="","",IF(ISBLANK(INDIRECT("R11.Software!D"&amp;SUM(18,38*0,8))),"",INDIRECT("R11.Software!D"&amp;SUM(18,38*0,8))))</f>
        <v/>
      </c>
      <c r="CI27" s="75" t="str" cm="1">
        <f t="array" aca="1" ref="CI27" ca="1">IF($B27="","",IF(ISBLANK(INDIRECT("R11.Software!D"&amp;SUM(18,38*1,8))),"",INDIRECT("R11.Software!D"&amp;SUM(18,38*1,8))))</f>
        <v/>
      </c>
      <c r="CJ27" s="75" t="str" cm="1">
        <f t="array" aca="1" ref="CJ27" ca="1">IF($B27="","",IF(ISBLANK(INDIRECT("R11.Software!D"&amp;SUM(18,38*2,8))),"",INDIRECT("R11.Software!D"&amp;SUM(18,38*2,8))))</f>
        <v/>
      </c>
      <c r="CK27" s="75" t="str" cm="1">
        <f t="array" aca="1" ref="CK27" ca="1">IF($B27="","",IF(ISBLANK(INDIRECT("R11.Software!D"&amp;SUM(18,38*3,8))),"",INDIRECT("R11.Software!D"&amp;SUM(18,38*3,8))))</f>
        <v/>
      </c>
      <c r="CL27" s="75" t="str" cm="1">
        <f t="array" aca="1" ref="CL27" ca="1">IF($B27="","",IF(ISBLANK(INDIRECT("R11.Software!D"&amp;SUM(18,38*4,8))),"",INDIRECT("R11.Software!D"&amp;SUM(18,38*4,8))))</f>
        <v/>
      </c>
      <c r="CM27" s="75" t="str" cm="1">
        <f t="array" aca="1" ref="CM27" ca="1">IF($B27="","",IF(ISBLANK(INDIRECT("R11.Software!D"&amp;SUM(18,38*5,8))),"",INDIRECT("R11.Software!D"&amp;SUM(18,38*5,8))))</f>
        <v/>
      </c>
      <c r="CN27" s="75" t="str" cm="1">
        <f t="array" aca="1" ref="CN27" ca="1">IF($B27="","",IF(ISBLANK(INDIRECT("R12.ServiciosApoyo!D"&amp;SUM(18,38*0,8))),"",INDIRECT("R12.ServiciosApoyo!D"&amp;SUM(18,38*0,8))))</f>
        <v/>
      </c>
      <c r="CO27" s="75" t="str" cm="1">
        <f t="array" aca="1" ref="CO27" ca="1">IF($B27="","",IF(ISBLANK(INDIRECT("R12.ServiciosApoyo!D"&amp;SUM(18,38*1,8))),"",INDIRECT("R12.ServiciosApoyo!D"&amp;SUM(18,38*1,8))))</f>
        <v/>
      </c>
      <c r="CP27" s="75" t="str" cm="1">
        <f t="array" aca="1" ref="CP27" ca="1">IF($B27="","",IF(ISBLANK(INDIRECT("R12.ServiciosApoyo!D"&amp;SUM(18,38*2,8))),"",INDIRECT("R12.ServiciosApoyo!D"&amp;SUM(18,38*2,8))))</f>
        <v/>
      </c>
      <c r="CQ27" s="75" t="str" cm="1">
        <f t="array" aca="1" ref="CQ27" ca="1">IF($B27="","",IF(ISBLANK(INDIRECT("R12.ServiciosApoyo!D"&amp;SUM(18,38*3,8))),"",INDIRECT("R12.ServiciosApoyo!D"&amp;SUM(18,38*3,8))))</f>
        <v/>
      </c>
      <c r="CR27" s="75" t="str" cm="1">
        <f t="array" aca="1" ref="CR27" ca="1">IF($B27="","",IF(ISBLANK(INDIRECT("R12.ServiciosApoyo!D"&amp;SUM(18,38*4,8))),"",INDIRECT("R12.ServiciosApoyo!D"&amp;SUM(18,38*4,8))))</f>
        <v/>
      </c>
      <c r="CU27" s="76"/>
    </row>
    <row r="28" spans="2:100" ht="20.399999999999999">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399999999999999">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4" t="s">
        <v>266</v>
      </c>
      <c r="C58" s="254"/>
      <c r="D58" s="254"/>
    </row>
    <row r="59" spans="2:99" ht="23.25" customHeight="1">
      <c r="B59" s="248" t="s">
        <v>272</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101</v>
      </c>
      <c r="C60" s="72" t="s">
        <v>273</v>
      </c>
      <c r="D60" s="72" t="s">
        <v>367</v>
      </c>
      <c r="E60" s="72" t="s">
        <v>368</v>
      </c>
      <c r="F60" s="72" t="s">
        <v>369</v>
      </c>
      <c r="G60" s="72" t="s">
        <v>370</v>
      </c>
      <c r="H60" s="72" t="s">
        <v>371</v>
      </c>
      <c r="I60" s="72" t="s">
        <v>372</v>
      </c>
      <c r="J60" s="72" t="s">
        <v>373</v>
      </c>
      <c r="K60" s="72" t="s">
        <v>374</v>
      </c>
      <c r="L60" s="72" t="s">
        <v>375</v>
      </c>
      <c r="M60" s="72" t="s">
        <v>376</v>
      </c>
      <c r="N60" s="72" t="s">
        <v>377</v>
      </c>
      <c r="O60" s="72" t="s">
        <v>378</v>
      </c>
      <c r="P60" s="72" t="s">
        <v>379</v>
      </c>
      <c r="Q60" s="72" t="s">
        <v>380</v>
      </c>
      <c r="R60" s="72" t="s">
        <v>381</v>
      </c>
      <c r="S60" s="72" t="s">
        <v>382</v>
      </c>
      <c r="T60" s="72" t="s">
        <v>383</v>
      </c>
      <c r="U60" s="72" t="s">
        <v>384</v>
      </c>
      <c r="V60" s="72" t="s">
        <v>385</v>
      </c>
      <c r="W60" s="72" t="s">
        <v>386</v>
      </c>
      <c r="X60" s="72" t="s">
        <v>387</v>
      </c>
      <c r="Y60" s="72" t="s">
        <v>388</v>
      </c>
      <c r="Z60" s="72" t="s">
        <v>389</v>
      </c>
      <c r="AA60" s="72" t="s">
        <v>390</v>
      </c>
      <c r="AB60" s="72" t="s">
        <v>391</v>
      </c>
      <c r="AC60" s="72" t="s">
        <v>392</v>
      </c>
      <c r="AD60" s="72" t="s">
        <v>393</v>
      </c>
      <c r="AE60" s="72" t="s">
        <v>394</v>
      </c>
      <c r="AF60" s="72" t="s">
        <v>395</v>
      </c>
      <c r="AG60" s="72" t="s">
        <v>396</v>
      </c>
      <c r="AH60" s="72" t="s">
        <v>397</v>
      </c>
      <c r="AI60" s="72" t="s">
        <v>398</v>
      </c>
      <c r="AJ60" s="72" t="s">
        <v>399</v>
      </c>
      <c r="AK60" s="72" t="s">
        <v>400</v>
      </c>
      <c r="AL60" s="72" t="s">
        <v>401</v>
      </c>
      <c r="AM60" s="72" t="s">
        <v>402</v>
      </c>
      <c r="AN60" s="72" t="s">
        <v>403</v>
      </c>
      <c r="AO60" s="72" t="s">
        <v>404</v>
      </c>
      <c r="AP60" s="72" t="s">
        <v>405</v>
      </c>
      <c r="AQ60" s="72" t="s">
        <v>406</v>
      </c>
      <c r="AR60" s="72" t="s">
        <v>407</v>
      </c>
      <c r="AS60" s="72" t="s">
        <v>408</v>
      </c>
      <c r="AT60" s="72" t="s">
        <v>409</v>
      </c>
      <c r="AU60" s="72" t="s">
        <v>410</v>
      </c>
      <c r="AV60" s="72" t="s">
        <v>411</v>
      </c>
      <c r="AW60" s="72" t="s">
        <v>412</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413</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414</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415</v>
      </c>
      <c r="D7" s="84"/>
      <c r="E7" s="141" t="s">
        <v>416</v>
      </c>
      <c r="F7" s="84"/>
      <c r="G7" s="141" t="s">
        <v>417</v>
      </c>
      <c r="H7" s="84"/>
      <c r="I7" s="141" t="s">
        <v>418</v>
      </c>
      <c r="J7" s="84"/>
      <c r="K7" s="141" t="s">
        <v>419</v>
      </c>
      <c r="L7" s="84"/>
      <c r="M7" s="141" t="s">
        <v>419</v>
      </c>
      <c r="N7" s="84"/>
      <c r="O7" s="141" t="s">
        <v>420</v>
      </c>
      <c r="P7" s="84"/>
      <c r="R7" s="84"/>
      <c r="S7" s="141" t="s">
        <v>421</v>
      </c>
      <c r="T7" s="84"/>
      <c r="U7" s="141" t="s">
        <v>103</v>
      </c>
      <c r="V7" s="84"/>
    </row>
    <row r="8" spans="3:22">
      <c r="U8" s="135" t="s">
        <v>422</v>
      </c>
      <c r="V8" s="135"/>
    </row>
    <row r="9" spans="3:22" ht="12.75" customHeight="1">
      <c r="C9" s="3" t="s">
        <v>423</v>
      </c>
      <c r="E9" s="16" t="s">
        <v>36</v>
      </c>
      <c r="G9" t="s">
        <v>424</v>
      </c>
      <c r="I9" t="s">
        <v>425</v>
      </c>
      <c r="K9" t="s">
        <v>55</v>
      </c>
      <c r="M9" t="s">
        <v>426</v>
      </c>
      <c r="O9" t="s">
        <v>427</v>
      </c>
      <c r="S9" t="s">
        <v>428</v>
      </c>
      <c r="U9" s="21" t="s">
        <v>104</v>
      </c>
      <c r="V9" s="21"/>
    </row>
    <row r="10" spans="3:22" ht="12.75" customHeight="1">
      <c r="C10" s="3" t="s">
        <v>429</v>
      </c>
      <c r="E10" s="16" t="s">
        <v>38</v>
      </c>
      <c r="G10" t="s">
        <v>47</v>
      </c>
      <c r="I10" t="s">
        <v>430</v>
      </c>
      <c r="K10" t="s">
        <v>37</v>
      </c>
      <c r="M10" t="s">
        <v>431</v>
      </c>
      <c r="O10" t="s">
        <v>432</v>
      </c>
      <c r="S10" t="s">
        <v>433</v>
      </c>
      <c r="U10" s="21" t="s">
        <v>105</v>
      </c>
      <c r="V10" s="21"/>
    </row>
    <row r="11" spans="3:22" ht="12.75" customHeight="1">
      <c r="C11" s="3" t="s">
        <v>434</v>
      </c>
      <c r="E11" s="16" t="s">
        <v>39</v>
      </c>
      <c r="G11" t="s">
        <v>435</v>
      </c>
      <c r="O11" t="s">
        <v>436</v>
      </c>
      <c r="S11" t="s">
        <v>437</v>
      </c>
      <c r="U11" s="21" t="s">
        <v>106</v>
      </c>
      <c r="V11" s="21"/>
    </row>
    <row r="12" spans="3:22" ht="12.75" customHeight="1">
      <c r="C12" s="3" t="s">
        <v>438</v>
      </c>
      <c r="E12" s="16" t="s">
        <v>40</v>
      </c>
      <c r="O12" t="s">
        <v>439</v>
      </c>
      <c r="U12" s="21" t="s">
        <v>96</v>
      </c>
      <c r="V12" s="21"/>
    </row>
    <row r="13" spans="3:22" ht="12.75" customHeight="1">
      <c r="E13" s="16" t="s">
        <v>41</v>
      </c>
      <c r="O13" t="s">
        <v>440</v>
      </c>
      <c r="U13" s="21" t="s">
        <v>94</v>
      </c>
      <c r="V13" s="21"/>
    </row>
    <row r="14" spans="3:22" ht="12.75" customHeight="1">
      <c r="E14" s="16" t="s">
        <v>42</v>
      </c>
      <c r="O14" t="s">
        <v>441</v>
      </c>
    </row>
    <row r="15" spans="3:22" ht="12.75" customHeight="1">
      <c r="E15" s="16" t="s">
        <v>43</v>
      </c>
      <c r="O15" t="s">
        <v>442</v>
      </c>
    </row>
    <row r="16" spans="3:22" ht="12.75" customHeight="1">
      <c r="E16" s="16" t="s">
        <v>44</v>
      </c>
      <c r="O16" t="s">
        <v>443</v>
      </c>
    </row>
    <row r="17" spans="2:15" ht="12.75" customHeight="1">
      <c r="E17" s="16" t="s">
        <v>45</v>
      </c>
      <c r="O17" t="s">
        <v>444</v>
      </c>
    </row>
    <row r="18" spans="2:15" ht="12.75" customHeight="1">
      <c r="E18" s="16"/>
      <c r="O18" t="s">
        <v>445</v>
      </c>
    </row>
    <row r="19" spans="2:15" ht="12.75" customHeight="1">
      <c r="E19" s="16"/>
      <c r="O19" t="s">
        <v>446</v>
      </c>
    </row>
    <row r="20" spans="2:15" ht="12.75" customHeight="1">
      <c r="E20" s="29"/>
      <c r="O20" t="s">
        <v>447</v>
      </c>
    </row>
    <row r="21" spans="2:15" ht="12.75" customHeight="1">
      <c r="E21" s="17"/>
      <c r="O21" t="s">
        <v>448</v>
      </c>
    </row>
    <row r="22" spans="2:15" ht="12.75" customHeight="1">
      <c r="O22" t="s">
        <v>431</v>
      </c>
    </row>
    <row r="23" spans="2:15" ht="15.6">
      <c r="B23" s="30" t="s">
        <v>449</v>
      </c>
    </row>
    <row r="25" spans="2:15" ht="15.6">
      <c r="B25" s="31" t="s">
        <v>450</v>
      </c>
      <c r="C25" s="32">
        <v>0.1</v>
      </c>
    </row>
    <row r="26" spans="2:15" ht="15.6">
      <c r="B26" s="31" t="s">
        <v>451</v>
      </c>
      <c r="C26" s="32">
        <v>0.5</v>
      </c>
    </row>
    <row r="27" spans="2:15" ht="15.6">
      <c r="B27" s="31" t="s">
        <v>452</v>
      </c>
      <c r="C27" s="32">
        <v>1</v>
      </c>
    </row>
    <row r="28" spans="2:15">
      <c r="C28" s="33"/>
      <c r="D28" s="33"/>
    </row>
    <row r="29" spans="2:15">
      <c r="C29" s="33"/>
      <c r="D29" s="33"/>
    </row>
    <row r="30" spans="2:15" ht="13.8">
      <c r="B30" s="34" t="s">
        <v>453</v>
      </c>
      <c r="C30" s="208"/>
      <c r="D30" s="208"/>
    </row>
    <row r="31" spans="2:15" ht="13.8">
      <c r="B31" s="209"/>
      <c r="C31" s="208"/>
      <c r="D31" s="208"/>
    </row>
    <row r="32" spans="2:15" ht="13.8">
      <c r="B32" s="209" t="s">
        <v>454</v>
      </c>
      <c r="C32" s="209">
        <v>28</v>
      </c>
      <c r="D32" s="209"/>
    </row>
    <row r="33" spans="2:4" ht="13.8">
      <c r="B33" s="209" t="s">
        <v>455</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456</v>
      </c>
      <c r="B1" s="109"/>
      <c r="C1" s="109" t="s">
        <v>457</v>
      </c>
      <c r="D1" s="109"/>
      <c r="E1" s="109" t="s">
        <v>458</v>
      </c>
      <c r="F1" s="109"/>
      <c r="G1" s="109"/>
      <c r="H1" s="109"/>
      <c r="I1" s="109"/>
      <c r="J1" s="109"/>
      <c r="K1" s="109" t="s">
        <v>459</v>
      </c>
      <c r="L1" s="109"/>
      <c r="M1" s="109"/>
      <c r="T1" s="259" t="s">
        <v>264</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460</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461</v>
      </c>
      <c r="B2" s="111" t="str">
        <f>'00.Info'!N2</f>
        <v>Versión: 2.0.1</v>
      </c>
      <c r="C2" s="109" t="s">
        <v>14</v>
      </c>
      <c r="D2" s="112">
        <f>'01.Definición de ámbito'!C7</f>
        <v>0</v>
      </c>
      <c r="E2" s="109" t="s">
        <v>54</v>
      </c>
      <c r="F2" s="112" t="str">
        <f>'02.Tecnologías'!C9</f>
        <v>Sí</v>
      </c>
      <c r="G2" s="161" t="s">
        <v>462</v>
      </c>
      <c r="H2" s="161" t="s">
        <v>463</v>
      </c>
      <c r="I2" s="161"/>
      <c r="J2" s="161"/>
      <c r="K2" s="118" t="s">
        <v>464</v>
      </c>
      <c r="L2" s="163">
        <f>'03.Muestra'!D45</f>
        <v>6</v>
      </c>
      <c r="M2" s="109"/>
      <c r="T2" s="110" t="s">
        <v>465</v>
      </c>
      <c r="U2" s="110" t="s">
        <v>273</v>
      </c>
      <c r="V2" s="110" t="s">
        <v>466</v>
      </c>
      <c r="W2" s="110" t="s">
        <v>467</v>
      </c>
      <c r="X2" s="110" t="s">
        <v>468</v>
      </c>
      <c r="Y2" s="110" t="s">
        <v>469</v>
      </c>
      <c r="Z2" s="110" t="s">
        <v>79</v>
      </c>
      <c r="AA2" s="110" t="s">
        <v>275</v>
      </c>
      <c r="AB2" s="110" t="s">
        <v>276</v>
      </c>
      <c r="AC2" s="110" t="s">
        <v>277</v>
      </c>
      <c r="AD2" s="110" t="s">
        <v>278</v>
      </c>
      <c r="AE2" s="110" t="s">
        <v>279</v>
      </c>
      <c r="AF2" s="110" t="s">
        <v>280</v>
      </c>
      <c r="AG2" s="110" t="s">
        <v>281</v>
      </c>
      <c r="AH2" s="110" t="s">
        <v>282</v>
      </c>
      <c r="AI2" s="110" t="s">
        <v>283</v>
      </c>
      <c r="AJ2" s="110" t="s">
        <v>284</v>
      </c>
      <c r="AK2" s="110" t="s">
        <v>285</v>
      </c>
      <c r="AL2" s="110" t="s">
        <v>286</v>
      </c>
      <c r="AM2" s="110" t="s">
        <v>287</v>
      </c>
      <c r="AN2" s="110" t="s">
        <v>288</v>
      </c>
      <c r="AO2" s="110" t="s">
        <v>289</v>
      </c>
      <c r="AP2" s="110" t="s">
        <v>290</v>
      </c>
      <c r="AQ2" s="110" t="s">
        <v>291</v>
      </c>
      <c r="AR2" s="110" t="s">
        <v>292</v>
      </c>
      <c r="AS2" s="110" t="s">
        <v>293</v>
      </c>
      <c r="AT2" s="110" t="s">
        <v>294</v>
      </c>
      <c r="AU2" s="110" t="s">
        <v>295</v>
      </c>
      <c r="AV2" s="110" t="s">
        <v>296</v>
      </c>
      <c r="AW2" s="110" t="s">
        <v>297</v>
      </c>
      <c r="AX2" s="110" t="s">
        <v>298</v>
      </c>
      <c r="AY2" s="110" t="s">
        <v>299</v>
      </c>
      <c r="AZ2" s="110" t="s">
        <v>300</v>
      </c>
      <c r="BA2" s="110" t="s">
        <v>301</v>
      </c>
      <c r="BB2" s="110" t="s">
        <v>302</v>
      </c>
      <c r="BC2" s="110" t="s">
        <v>303</v>
      </c>
      <c r="BD2" s="110" t="s">
        <v>304</v>
      </c>
      <c r="BE2" s="110" t="s">
        <v>305</v>
      </c>
      <c r="BF2" s="110" t="s">
        <v>306</v>
      </c>
      <c r="BG2" s="110" t="s">
        <v>307</v>
      </c>
      <c r="BH2" s="110" t="s">
        <v>308</v>
      </c>
      <c r="BI2" s="110" t="s">
        <v>309</v>
      </c>
      <c r="BJ2" s="110" t="s">
        <v>310</v>
      </c>
      <c r="BK2" s="110" t="s">
        <v>311</v>
      </c>
      <c r="BL2" s="110" t="s">
        <v>312</v>
      </c>
      <c r="BM2" s="110" t="s">
        <v>313</v>
      </c>
      <c r="BN2" s="110" t="s">
        <v>314</v>
      </c>
      <c r="BO2" s="110" t="s">
        <v>315</v>
      </c>
      <c r="BP2" s="110" t="s">
        <v>316</v>
      </c>
      <c r="BQ2" s="110" t="s">
        <v>317</v>
      </c>
      <c r="BR2" s="110" t="s">
        <v>318</v>
      </c>
      <c r="BS2" s="110" t="s">
        <v>319</v>
      </c>
      <c r="BT2" s="110" t="s">
        <v>320</v>
      </c>
      <c r="BU2" s="110" t="s">
        <v>321</v>
      </c>
      <c r="BV2" s="110" t="s">
        <v>322</v>
      </c>
      <c r="BW2" s="110" t="s">
        <v>323</v>
      </c>
      <c r="BX2" s="110" t="s">
        <v>324</v>
      </c>
      <c r="BY2" s="110" t="s">
        <v>325</v>
      </c>
      <c r="BZ2" s="110" t="s">
        <v>326</v>
      </c>
      <c r="CA2" s="110" t="s">
        <v>327</v>
      </c>
      <c r="CB2" s="110" t="s">
        <v>328</v>
      </c>
      <c r="CC2" s="110" t="s">
        <v>329</v>
      </c>
      <c r="CD2" s="110" t="s">
        <v>330</v>
      </c>
      <c r="CE2" s="110" t="s">
        <v>331</v>
      </c>
      <c r="CF2" s="110" t="s">
        <v>332</v>
      </c>
      <c r="CG2" s="110" t="s">
        <v>333</v>
      </c>
      <c r="CH2" s="110" t="s">
        <v>334</v>
      </c>
      <c r="CI2" s="110" t="s">
        <v>335</v>
      </c>
      <c r="CJ2" s="110" t="s">
        <v>336</v>
      </c>
      <c r="CK2" s="110" t="s">
        <v>337</v>
      </c>
      <c r="CL2" s="110" t="s">
        <v>338</v>
      </c>
      <c r="CM2" s="110" t="s">
        <v>339</v>
      </c>
      <c r="CN2" s="110" t="s">
        <v>340</v>
      </c>
      <c r="CO2" s="110" t="s">
        <v>341</v>
      </c>
      <c r="CP2" s="110" t="s">
        <v>342</v>
      </c>
      <c r="CQ2" s="110" t="s">
        <v>343</v>
      </c>
      <c r="CR2" s="110" t="s">
        <v>344</v>
      </c>
      <c r="CS2" s="110" t="s">
        <v>345</v>
      </c>
      <c r="CT2" s="110" t="s">
        <v>346</v>
      </c>
      <c r="CU2" s="110" t="s">
        <v>347</v>
      </c>
      <c r="CV2" s="110" t="s">
        <v>348</v>
      </c>
      <c r="CW2" s="110" t="s">
        <v>349</v>
      </c>
      <c r="CX2" s="110" t="s">
        <v>350</v>
      </c>
      <c r="CY2" s="110" t="s">
        <v>351</v>
      </c>
      <c r="CZ2" s="110" t="s">
        <v>352</v>
      </c>
      <c r="DA2" s="110" t="s">
        <v>353</v>
      </c>
      <c r="DB2" s="110" t="s">
        <v>354</v>
      </c>
      <c r="DC2" s="110" t="s">
        <v>355</v>
      </c>
      <c r="DD2" s="110" t="s">
        <v>356</v>
      </c>
      <c r="DE2" s="110" t="s">
        <v>357</v>
      </c>
      <c r="DF2" s="110" t="s">
        <v>358</v>
      </c>
      <c r="DG2" s="110" t="s">
        <v>359</v>
      </c>
      <c r="DH2" s="110" t="s">
        <v>360</v>
      </c>
      <c r="DI2" s="110" t="s">
        <v>361</v>
      </c>
      <c r="DJ2" s="110" t="s">
        <v>362</v>
      </c>
      <c r="DK2" s="110" t="s">
        <v>363</v>
      </c>
      <c r="DL2" s="110" t="s">
        <v>364</v>
      </c>
      <c r="DM2" s="110" t="s">
        <v>365</v>
      </c>
      <c r="DN2" s="110" t="s">
        <v>366</v>
      </c>
      <c r="DO2" s="110" t="s">
        <v>465</v>
      </c>
      <c r="DP2" s="110" t="s">
        <v>273</v>
      </c>
      <c r="DQ2" s="110" t="s">
        <v>466</v>
      </c>
      <c r="DR2" s="110" t="s">
        <v>467</v>
      </c>
      <c r="DS2" s="110" t="s">
        <v>468</v>
      </c>
      <c r="DT2" s="110" t="s">
        <v>469</v>
      </c>
      <c r="DU2" s="110" t="s">
        <v>79</v>
      </c>
      <c r="DV2" s="110" t="s">
        <v>368</v>
      </c>
      <c r="DW2" s="109" t="s">
        <v>369</v>
      </c>
      <c r="DX2" s="109" t="s">
        <v>370</v>
      </c>
      <c r="DY2" s="109" t="s">
        <v>371</v>
      </c>
      <c r="DZ2" s="109" t="s">
        <v>372</v>
      </c>
      <c r="EA2" s="109" t="s">
        <v>373</v>
      </c>
      <c r="EB2" s="109" t="s">
        <v>374</v>
      </c>
      <c r="EC2" s="109" t="s">
        <v>375</v>
      </c>
      <c r="ED2" s="109" t="s">
        <v>376</v>
      </c>
      <c r="EE2" s="109" t="s">
        <v>377</v>
      </c>
      <c r="EF2" s="109" t="s">
        <v>378</v>
      </c>
      <c r="EG2" s="109" t="s">
        <v>379</v>
      </c>
      <c r="EH2" s="109" t="s">
        <v>380</v>
      </c>
      <c r="EI2" s="109" t="s">
        <v>381</v>
      </c>
      <c r="EJ2" s="109" t="s">
        <v>382</v>
      </c>
      <c r="EK2" s="109" t="s">
        <v>383</v>
      </c>
      <c r="EL2" s="109" t="s">
        <v>384</v>
      </c>
      <c r="EM2" s="109" t="s">
        <v>385</v>
      </c>
      <c r="EN2" s="109" t="s">
        <v>386</v>
      </c>
      <c r="EO2" s="109" t="s">
        <v>387</v>
      </c>
      <c r="EP2" s="109" t="s">
        <v>388</v>
      </c>
      <c r="EQ2" s="109" t="s">
        <v>389</v>
      </c>
      <c r="ER2" s="109" t="s">
        <v>390</v>
      </c>
      <c r="ES2" s="109" t="s">
        <v>391</v>
      </c>
      <c r="ET2" s="109" t="s">
        <v>392</v>
      </c>
      <c r="EU2" s="109" t="s">
        <v>393</v>
      </c>
      <c r="EV2" s="109" t="s">
        <v>394</v>
      </c>
      <c r="EW2" s="109" t="s">
        <v>395</v>
      </c>
      <c r="EX2" s="109" t="s">
        <v>396</v>
      </c>
      <c r="EY2" s="109" t="s">
        <v>397</v>
      </c>
      <c r="EZ2" s="109" t="s">
        <v>398</v>
      </c>
      <c r="FA2" s="109" t="s">
        <v>399</v>
      </c>
      <c r="FB2" s="109" t="s">
        <v>400</v>
      </c>
      <c r="FC2" s="109" t="s">
        <v>401</v>
      </c>
      <c r="FD2" s="109" t="s">
        <v>402</v>
      </c>
      <c r="FE2" s="109" t="s">
        <v>403</v>
      </c>
      <c r="FF2" s="109" t="s">
        <v>404</v>
      </c>
      <c r="FG2" s="109" t="s">
        <v>405</v>
      </c>
      <c r="FH2" s="109" t="s">
        <v>406</v>
      </c>
      <c r="FI2" s="109" t="s">
        <v>407</v>
      </c>
      <c r="FJ2" s="109" t="s">
        <v>408</v>
      </c>
      <c r="FK2" s="109" t="s">
        <v>409</v>
      </c>
      <c r="FL2" s="109" t="s">
        <v>410</v>
      </c>
      <c r="FM2" s="109" t="s">
        <v>411</v>
      </c>
      <c r="FN2" s="109" t="s">
        <v>412</v>
      </c>
    </row>
    <row r="3" spans="1:170">
      <c r="C3" s="109" t="s">
        <v>15</v>
      </c>
      <c r="D3" s="112">
        <f>'01.Definición de ámbito'!C9</f>
        <v>0</v>
      </c>
      <c r="E3" s="109" t="s">
        <v>58</v>
      </c>
      <c r="F3" s="112" t="str">
        <f>'02.Tecnologías'!C10</f>
        <v>No</v>
      </c>
      <c r="G3" s="112">
        <f>'02.Tecnologías'!K13</f>
        <v>0</v>
      </c>
      <c r="H3" s="112">
        <f>'02.Tecnologías'!L13</f>
        <v>0</v>
      </c>
      <c r="I3" s="162"/>
      <c r="J3" s="162"/>
      <c r="K3" s="118" t="s">
        <v>470</v>
      </c>
      <c r="L3" s="163">
        <f>'03.Muestra'!D47</f>
        <v>5</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https://www.comunidad.madrid/pjus_sede/</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Pasa</v>
      </c>
      <c r="BN3" s="111" t="str">
        <f ca="1">RESULTADOS!AR20</f>
        <v>N/A</v>
      </c>
      <c r="BO3" s="111" t="str">
        <f ca="1">RESULTADOS!AS20</f>
        <v>N/A</v>
      </c>
      <c r="BP3" s="111" t="str">
        <f ca="1">RESULTADOS!AT20</f>
        <v>N/A</v>
      </c>
      <c r="BQ3" s="111" t="str">
        <f ca="1">RESULTADOS!AU20</f>
        <v>N/A</v>
      </c>
      <c r="BR3" s="111" t="str">
        <f ca="1">RESULTADOS!AV20</f>
        <v>Falla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Falla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Falla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61</v>
      </c>
      <c r="F4" s="112" t="str">
        <f>'02.Tecnologías'!C11</f>
        <v>No</v>
      </c>
      <c r="G4" s="112">
        <f>'02.Tecnologías'!K14</f>
        <v>0</v>
      </c>
      <c r="H4" s="112">
        <f>'02.Tecnologías'!L14</f>
        <v>0</v>
      </c>
      <c r="I4" s="162"/>
      <c r="J4" s="162"/>
      <c r="K4" s="118" t="s">
        <v>471</v>
      </c>
      <c r="L4" s="163">
        <f>'03.Muestra'!D49</f>
        <v>1</v>
      </c>
      <c r="M4" s="109"/>
      <c r="T4" s="113">
        <f>RESULTADOS!B21</f>
        <v>2</v>
      </c>
      <c r="U4" s="113" t="str">
        <f>RESULTADOS!C21</f>
        <v>Accesibilidad</v>
      </c>
      <c r="V4" s="113" t="str">
        <f t="shared" ref="V4:V37" si="0">IF(T4&lt;&gt;"","Página web","")</f>
        <v>Página web</v>
      </c>
      <c r="W4" s="113" t="str">
        <v>Declaración accesibilidad</v>
      </c>
      <c r="X4" s="113" t="str">
        <f>RESULTADOS!D21</f>
        <v>https://www.comunidad.madrid/pjus_sede/node/35</v>
      </c>
      <c r="Y4" s="113" t="str">
        <v>Inicio -  Accesibilidad</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Pasa</v>
      </c>
      <c r="BN4" s="111" t="str">
        <f ca="1">RESULTADOS!AR21</f>
        <v>N/A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Pasa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Falla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64</v>
      </c>
      <c r="F5" s="112" t="str">
        <f>'02.Tecnologías'!C12</f>
        <v>Sí</v>
      </c>
      <c r="G5" s="112">
        <f>'02.Tecnologías'!K15</f>
        <v>0</v>
      </c>
      <c r="H5" s="112">
        <f>'02.Tecnologías'!L15</f>
        <v>0</v>
      </c>
      <c r="I5" s="162"/>
      <c r="J5" s="162"/>
      <c r="K5" s="118" t="s">
        <v>472</v>
      </c>
      <c r="L5" s="163" t="str">
        <f>'03.Muestra'!D52</f>
        <v>SI</v>
      </c>
      <c r="M5" s="109"/>
      <c r="T5" s="113">
        <f>RESULTADOS!B22</f>
        <v>3</v>
      </c>
      <c r="U5" s="113" t="str">
        <f>RESULTADOS!C22</f>
        <v>Conozca la sede</v>
      </c>
      <c r="V5" s="113" t="str">
        <f t="shared" si="0"/>
        <v>Página web</v>
      </c>
      <c r="W5" s="113" t="str">
        <v>Pagina tipo</v>
      </c>
      <c r="X5" s="113" t="str">
        <f>RESULTADOS!D22</f>
        <v>https://www.comunidad.madrid/pjus_sede/conozcalasede</v>
      </c>
      <c r="Y5" s="113" t="str">
        <v>Inicio - Conozca la sede</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Pasa</v>
      </c>
      <c r="BN5" s="111" t="str">
        <f ca="1">RESULTADOS!AR22</f>
        <v>N/A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Falla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Falla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69</v>
      </c>
      <c r="F6" s="112" t="str">
        <f>'02.Tecnologías'!C13</f>
        <v>Sí</v>
      </c>
      <c r="G6" s="112">
        <f>'02.Tecnologías'!K16</f>
        <v>0</v>
      </c>
      <c r="H6" s="112">
        <f>'02.Tecnologías'!L16</f>
        <v>0</v>
      </c>
      <c r="I6" s="162"/>
      <c r="J6" s="162"/>
      <c r="K6" s="109"/>
      <c r="L6" s="109"/>
      <c r="M6" s="109"/>
      <c r="T6" s="113">
        <f>RESULTADOS!B23</f>
        <v>4</v>
      </c>
      <c r="U6" s="113" t="str">
        <f>RESULTADOS!C23</f>
        <v>Tramites y servicios</v>
      </c>
      <c r="V6" s="113" t="str">
        <f t="shared" si="0"/>
        <v>Página web</v>
      </c>
      <c r="W6" s="113" t="str">
        <v>Pagina tipo</v>
      </c>
      <c r="X6" s="113" t="str">
        <f>RESULTADOS!D23</f>
        <v>https://www.comunidad.madrid/pjus_sede/tramitesyservicios</v>
      </c>
      <c r="Y6" s="113" t="str">
        <v>Inicio - Trámites y servicios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Pasa</v>
      </c>
      <c r="BN6" s="111" t="str">
        <f ca="1">RESULTADOS!AR23</f>
        <v>N/A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Falla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56</v>
      </c>
      <c r="F7" s="112" t="str">
        <f>'02.Tecnologías'!F9</f>
        <v>No</v>
      </c>
      <c r="G7" s="112">
        <f>'02.Tecnologías'!K17</f>
        <v>0</v>
      </c>
      <c r="H7" s="112">
        <f>'02.Tecnologías'!L17</f>
        <v>0</v>
      </c>
      <c r="I7" s="162"/>
      <c r="J7" s="162"/>
      <c r="K7" s="109"/>
      <c r="L7" s="109"/>
      <c r="M7" s="109"/>
      <c r="T7" s="113">
        <f>RESULTADOS!B24</f>
        <v>5</v>
      </c>
      <c r="U7" s="113" t="str">
        <f>RESULTADOS!C24</f>
        <v>Ayuda</v>
      </c>
      <c r="V7" s="113" t="str">
        <f t="shared" si="0"/>
        <v>Página web</v>
      </c>
      <c r="W7" s="113" t="str">
        <v>Pagina tipo</v>
      </c>
      <c r="X7" s="113" t="str">
        <f>RESULTADOS!D24</f>
        <v>https://www.comunidad.madrid/pjus_sede/ayuda</v>
      </c>
      <c r="Y7" s="113" t="str">
        <v>Inicio - Ayuda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Pasa</v>
      </c>
      <c r="BN7" s="111" t="str">
        <f ca="1">RESULTADOS!AR24</f>
        <v>N/A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Falla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Falla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59</v>
      </c>
      <c r="F8" s="112" t="str">
        <f>'02.Tecnologías'!F10</f>
        <v>No</v>
      </c>
      <c r="G8" s="112">
        <f>'02.Tecnologías'!K18</f>
        <v>0</v>
      </c>
      <c r="H8" s="112">
        <f>'02.Tecnologías'!L18</f>
        <v>0</v>
      </c>
      <c r="I8" s="162"/>
      <c r="J8" s="162"/>
      <c r="K8" s="109"/>
      <c r="L8" s="109"/>
      <c r="M8" s="109"/>
      <c r="T8" s="113">
        <f>RESULTADOS!B25</f>
        <v>6</v>
      </c>
      <c r="U8" s="113" t="str">
        <f>RESULTADOS!C25</f>
        <v>Resultados de búsqueda</v>
      </c>
      <c r="V8" s="113" t="str">
        <f t="shared" si="0"/>
        <v>Página web</v>
      </c>
      <c r="W8" s="113" t="str">
        <v>Aleatoria</v>
      </c>
      <c r="X8" s="113" t="str">
        <f>RESULTADOS!D25</f>
        <v>https://www.comunidad.madrid/pjus_sede/search/node/sugerencias</v>
      </c>
      <c r="Y8" s="113" t="str">
        <v>Inicio - Buscar: "Sugerencias"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Pasa</v>
      </c>
      <c r="BN8" s="111" t="str">
        <f ca="1">RESULTADOS!AR25</f>
        <v>N/A</v>
      </c>
      <c r="BO8" s="111" t="str">
        <f ca="1">RESULTADOS!AS25</f>
        <v>N/A</v>
      </c>
      <c r="BP8" s="111" t="str">
        <f ca="1">RESULTADOS!AT25</f>
        <v>N/A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Pasa</v>
      </c>
      <c r="DA8" s="111" t="str">
        <f ca="1">RESULTADOS!CE25</f>
        <v>Falla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Falla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f>'01.Definición de ámbito'!C25</f>
        <v>0</v>
      </c>
      <c r="E9" s="109" t="s">
        <v>62</v>
      </c>
      <c r="F9" s="112" t="str">
        <f>'02.Tecnologías'!F11</f>
        <v>No</v>
      </c>
      <c r="G9" s="112">
        <f>'02.Tecnologías'!K19</f>
        <v>0</v>
      </c>
      <c r="H9" s="112">
        <f>'02.Tecnologías'!L19</f>
        <v>0</v>
      </c>
      <c r="I9" s="162"/>
      <c r="J9" s="162"/>
      <c r="K9" s="109"/>
      <c r="L9" s="109"/>
      <c r="M9" s="109"/>
      <c r="T9" s="113" t="str">
        <f>RESULTADOS!B26</f>
        <v/>
      </c>
      <c r="U9" s="113" t="str">
        <f>RESULTADOS!C26</f>
        <v/>
      </c>
      <c r="V9" s="113" t="str">
        <f t="shared" si="0"/>
        <v/>
      </c>
      <c r="W9" s="113" t="str">
        <v/>
      </c>
      <c r="X9" s="113" t="str">
        <f>RESULTADOS!D26</f>
        <v/>
      </c>
      <c r="Y9" s="113" t="str">
        <v/>
      </c>
      <c r="Z9" s="188" t="str">
        <v/>
      </c>
      <c r="AA9" s="111" t="str">
        <f ca="1">RESULTADOS!E26</f>
        <v/>
      </c>
      <c r="AB9" s="111" t="str">
        <f ca="1">RESULTADOS!F26</f>
        <v/>
      </c>
      <c r="AC9" s="111" t="str">
        <f ca="1">RESULTADOS!G26</f>
        <v/>
      </c>
      <c r="AD9" s="111" t="str">
        <f ca="1">RESULTADOS!H26</f>
        <v/>
      </c>
      <c r="AE9" s="111" t="str">
        <f ca="1">RESULTADOS!I26</f>
        <v/>
      </c>
      <c r="AF9" s="111" t="str">
        <f ca="1">RESULTADOS!J26</f>
        <v/>
      </c>
      <c r="AG9" s="111" t="str">
        <f ca="1">RESULTADOS!K26</f>
        <v/>
      </c>
      <c r="AH9" s="111" t="str">
        <f ca="1">RESULTADOS!L26</f>
        <v/>
      </c>
      <c r="AI9" s="111" t="str">
        <f ca="1">RESULTADOS!M26</f>
        <v/>
      </c>
      <c r="AJ9" s="111" t="str">
        <f ca="1">RESULTADOS!N26</f>
        <v/>
      </c>
      <c r="AK9" s="111" t="str">
        <f ca="1">RESULTADOS!O26</f>
        <v/>
      </c>
      <c r="AL9" s="111" t="str">
        <f ca="1">RESULTADOS!P26</f>
        <v/>
      </c>
      <c r="AM9" s="111" t="str">
        <f ca="1">RESULTADOS!Q26</f>
        <v/>
      </c>
      <c r="AN9" s="111" t="str">
        <f ca="1">RESULTADOS!R26</f>
        <v/>
      </c>
      <c r="AO9" s="111" t="str">
        <f ca="1">RESULTADOS!S26</f>
        <v/>
      </c>
      <c r="AP9" s="111" t="str">
        <f ca="1">RESULTADOS!T26</f>
        <v/>
      </c>
      <c r="AQ9" s="111" t="str">
        <f ca="1">RESULTADOS!U26</f>
        <v/>
      </c>
      <c r="AR9" s="111" t="str">
        <f ca="1">RESULTADOS!V26</f>
        <v/>
      </c>
      <c r="AS9" s="111" t="str">
        <f ca="1">RESULTADOS!W26</f>
        <v/>
      </c>
      <c r="AT9" s="111" t="str">
        <f ca="1">RESULTADOS!X26</f>
        <v/>
      </c>
      <c r="AU9" s="111" t="str">
        <f ca="1">RESULTADOS!Y26</f>
        <v/>
      </c>
      <c r="AV9" s="111" t="str">
        <f ca="1">RESULTADOS!Z26</f>
        <v/>
      </c>
      <c r="AW9" s="111" t="str">
        <f ca="1">RESULTADOS!AA26</f>
        <v/>
      </c>
      <c r="AX9" s="111" t="str">
        <f ca="1">RESULTADOS!AB26</f>
        <v/>
      </c>
      <c r="AY9" s="111" t="str">
        <f ca="1">RESULTADOS!AC26</f>
        <v/>
      </c>
      <c r="AZ9" s="111" t="str">
        <f ca="1">RESULTADOS!AD26</f>
        <v/>
      </c>
      <c r="BA9" s="111" t="str">
        <f ca="1">RESULTADOS!AE26</f>
        <v/>
      </c>
      <c r="BB9" s="111" t="str">
        <f ca="1">RESULTADOS!AF26</f>
        <v/>
      </c>
      <c r="BC9" s="111" t="str">
        <f ca="1">RESULTADOS!AG26</f>
        <v/>
      </c>
      <c r="BD9" s="111" t="str">
        <f ca="1">RESULTADOS!AH26</f>
        <v/>
      </c>
      <c r="BE9" s="111" t="str">
        <f ca="1">RESULTADOS!AI26</f>
        <v/>
      </c>
      <c r="BF9" s="111" t="str">
        <f ca="1">RESULTADOS!AJ26</f>
        <v/>
      </c>
      <c r="BG9" s="111" t="str">
        <f ca="1">RESULTADOS!AK26</f>
        <v/>
      </c>
      <c r="BH9" s="111" t="str">
        <f ca="1">RESULTADOS!AL26</f>
        <v/>
      </c>
      <c r="BI9" s="111" t="str">
        <f ca="1">RESULTADOS!AM26</f>
        <v/>
      </c>
      <c r="BJ9" s="111" t="str">
        <f ca="1">RESULTADOS!AN26</f>
        <v/>
      </c>
      <c r="BK9" s="111" t="str">
        <f ca="1">RESULTADOS!AO26</f>
        <v/>
      </c>
      <c r="BL9" s="111" t="str">
        <f ca="1">RESULTADOS!AP26</f>
        <v/>
      </c>
      <c r="BM9" s="111" t="str">
        <f ca="1">RESULTADOS!AQ26</f>
        <v/>
      </c>
      <c r="BN9" s="111" t="str">
        <f ca="1">RESULTADOS!AR26</f>
        <v/>
      </c>
      <c r="BO9" s="111" t="str">
        <f ca="1">RESULTADOS!AS26</f>
        <v/>
      </c>
      <c r="BP9" s="111" t="str">
        <f ca="1">RESULTADOS!AT26</f>
        <v/>
      </c>
      <c r="BQ9" s="111" t="str">
        <f ca="1">RESULTADOS!AU26</f>
        <v/>
      </c>
      <c r="BR9" s="111" t="str">
        <f ca="1">RESULTADOS!AV26</f>
        <v/>
      </c>
      <c r="BS9" s="111" t="str">
        <f ca="1">RESULTADOS!AW26</f>
        <v/>
      </c>
      <c r="BT9" s="111" t="str">
        <f ca="1">RESULTADOS!AX26</f>
        <v/>
      </c>
      <c r="BU9" s="111" t="str">
        <f ca="1">RESULTADOS!AY26</f>
        <v/>
      </c>
      <c r="BV9" s="111" t="str">
        <f ca="1">RESULTADOS!AZ26</f>
        <v/>
      </c>
      <c r="BW9" s="111" t="str">
        <f ca="1">RESULTADOS!BA26</f>
        <v/>
      </c>
      <c r="BX9" s="111" t="str">
        <f ca="1">RESULTADOS!BB26</f>
        <v/>
      </c>
      <c r="BY9" s="111" t="str">
        <f ca="1">RESULTADOS!BC26</f>
        <v/>
      </c>
      <c r="BZ9" s="111" t="str">
        <f ca="1">RESULTADOS!BD26</f>
        <v/>
      </c>
      <c r="CA9" s="111" t="str">
        <f ca="1">RESULTADOS!BE26</f>
        <v/>
      </c>
      <c r="CB9" s="111" t="str">
        <f ca="1">RESULTADOS!BF26</f>
        <v/>
      </c>
      <c r="CC9" s="111" t="str">
        <f ca="1">RESULTADOS!BG26</f>
        <v/>
      </c>
      <c r="CD9" s="111" t="str">
        <f ca="1">RESULTADOS!BH26</f>
        <v/>
      </c>
      <c r="CE9" s="111" t="str">
        <f ca="1">RESULTADOS!BI26</f>
        <v/>
      </c>
      <c r="CF9" s="111" t="str">
        <f ca="1">RESULTADOS!BJ26</f>
        <v/>
      </c>
      <c r="CG9" s="111" t="str">
        <f ca="1">RESULTADOS!BK26</f>
        <v/>
      </c>
      <c r="CH9" s="111" t="str">
        <f ca="1">RESULTADOS!BL26</f>
        <v/>
      </c>
      <c r="CI9" s="111" t="str">
        <f ca="1">RESULTADOS!BM26</f>
        <v/>
      </c>
      <c r="CJ9" s="111" t="str">
        <f ca="1">RESULTADOS!BN26</f>
        <v/>
      </c>
      <c r="CK9" s="111" t="str">
        <f ca="1">RESULTADOS!BO26</f>
        <v/>
      </c>
      <c r="CL9" s="111" t="str">
        <f ca="1">RESULTADOS!BP26</f>
        <v/>
      </c>
      <c r="CM9" s="111" t="str">
        <f ca="1">RESULTADOS!BQ26</f>
        <v/>
      </c>
      <c r="CN9" s="111" t="str">
        <f ca="1">RESULTADOS!BR26</f>
        <v/>
      </c>
      <c r="CO9" s="111" t="str">
        <f ca="1">RESULTADOS!BS26</f>
        <v/>
      </c>
      <c r="CP9" s="111" t="str">
        <f ca="1">RESULTADOS!BT26</f>
        <v/>
      </c>
      <c r="CQ9" s="111" t="str">
        <f ca="1">RESULTADOS!BU26</f>
        <v/>
      </c>
      <c r="CR9" s="111" t="str">
        <f ca="1">RESULTADOS!BV26</f>
        <v/>
      </c>
      <c r="CS9" s="111" t="str">
        <f ca="1">RESULTADOS!BW26</f>
        <v/>
      </c>
      <c r="CT9" s="111" t="str">
        <f ca="1">RESULTADOS!BX26</f>
        <v/>
      </c>
      <c r="CU9" s="111" t="str">
        <f ca="1">RESULTADOS!BY26</f>
        <v/>
      </c>
      <c r="CV9" s="111" t="str">
        <f ca="1">RESULTADOS!BZ26</f>
        <v/>
      </c>
      <c r="CW9" s="111" t="str">
        <f ca="1">RESULTADOS!CA26</f>
        <v/>
      </c>
      <c r="CX9" s="111" t="str">
        <f ca="1">RESULTADOS!CB26</f>
        <v/>
      </c>
      <c r="CY9" s="111" t="str">
        <f ca="1">RESULTADOS!CC26</f>
        <v/>
      </c>
      <c r="CZ9" s="111" t="str">
        <f ca="1">RESULTADOS!CD26</f>
        <v/>
      </c>
      <c r="DA9" s="111" t="str">
        <f ca="1">RESULTADOS!CE26</f>
        <v/>
      </c>
      <c r="DB9" s="111" t="str">
        <f ca="1">RESULTADOS!CF26</f>
        <v/>
      </c>
      <c r="DC9" s="111" t="str">
        <f ca="1">RESULTADOS!CG26</f>
        <v/>
      </c>
      <c r="DD9" s="111" t="str">
        <f ca="1">RESULTADOS!CH26</f>
        <v/>
      </c>
      <c r="DE9" s="111" t="str">
        <f ca="1">RESULTADOS!CI26</f>
        <v/>
      </c>
      <c r="DF9" s="111" t="str">
        <f ca="1">RESULTADOS!CJ26</f>
        <v/>
      </c>
      <c r="DG9" s="111" t="str">
        <f ca="1">RESULTADOS!CK26</f>
        <v/>
      </c>
      <c r="DH9" s="111" t="str">
        <f ca="1">RESULTADOS!CL26</f>
        <v/>
      </c>
      <c r="DI9" s="111" t="str">
        <f ca="1">RESULTADOS!CM26</f>
        <v/>
      </c>
      <c r="DJ9" s="111" t="str">
        <f ca="1">RESULTADOS!CN26</f>
        <v/>
      </c>
      <c r="DK9" s="111" t="str">
        <f ca="1">RESULTADOS!CO26</f>
        <v/>
      </c>
      <c r="DL9" s="111" t="str">
        <f ca="1">RESULTADOS!CP26</f>
        <v/>
      </c>
      <c r="DM9" s="111" t="str">
        <f ca="1">RESULTADOS!CQ26</f>
        <v/>
      </c>
      <c r="DN9" s="111" t="str">
        <f ca="1">RESULTADOS!CR26</f>
        <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f>'01.Definición de ámbito'!C27</f>
        <v>0</v>
      </c>
      <c r="E10" s="109" t="s">
        <v>65</v>
      </c>
      <c r="F10" s="112" t="str">
        <f>'02.Tecnologías'!F12</f>
        <v>No</v>
      </c>
      <c r="G10" s="112">
        <f>'02.Tecnologías'!K20</f>
        <v>0</v>
      </c>
      <c r="H10" s="112">
        <f>'02.Tecnologías'!L20</f>
        <v>0</v>
      </c>
      <c r="I10" s="162"/>
      <c r="J10" s="162"/>
      <c r="K10" s="109" t="s">
        <v>473</v>
      </c>
      <c r="L10" s="109"/>
      <c r="M10" s="109"/>
      <c r="T10" s="113" t="str">
        <f>RESULTADOS!B27</f>
        <v/>
      </c>
      <c r="U10" s="113" t="str">
        <f>RESULTADOS!C27</f>
        <v/>
      </c>
      <c r="V10" s="113" t="str">
        <f t="shared" si="0"/>
        <v/>
      </c>
      <c r="W10" s="113" t="str">
        <v/>
      </c>
      <c r="X10" s="113" t="str">
        <f>RESULTADOS!D27</f>
        <v/>
      </c>
      <c r="Y10" s="113" t="str">
        <v/>
      </c>
      <c r="Z10" s="188" t="str">
        <v/>
      </c>
      <c r="AA10" s="111" t="str">
        <f ca="1">RESULTADOS!E27</f>
        <v/>
      </c>
      <c r="AB10" s="111" t="str">
        <f ca="1">RESULTADOS!F27</f>
        <v/>
      </c>
      <c r="AC10" s="111" t="str">
        <f ca="1">RESULTADOS!G27</f>
        <v/>
      </c>
      <c r="AD10" s="111" t="str">
        <f ca="1">RESULTADOS!H27</f>
        <v/>
      </c>
      <c r="AE10" s="111" t="str">
        <f ca="1">RESULTADOS!I27</f>
        <v/>
      </c>
      <c r="AF10" s="111" t="str">
        <f ca="1">RESULTADOS!J27</f>
        <v/>
      </c>
      <c r="AG10" s="111" t="str">
        <f ca="1">RESULTADOS!K27</f>
        <v/>
      </c>
      <c r="AH10" s="111" t="str">
        <f ca="1">RESULTADOS!L27</f>
        <v/>
      </c>
      <c r="AI10" s="111" t="str">
        <f ca="1">RESULTADOS!M27</f>
        <v/>
      </c>
      <c r="AJ10" s="111" t="str">
        <f ca="1">RESULTADOS!N27</f>
        <v/>
      </c>
      <c r="AK10" s="111" t="str">
        <f ca="1">RESULTADOS!O27</f>
        <v/>
      </c>
      <c r="AL10" s="111" t="str">
        <f ca="1">RESULTADOS!P27</f>
        <v/>
      </c>
      <c r="AM10" s="111" t="str">
        <f ca="1">RESULTADOS!Q27</f>
        <v/>
      </c>
      <c r="AN10" s="111" t="str">
        <f ca="1">RESULTADOS!R27</f>
        <v/>
      </c>
      <c r="AO10" s="111" t="str">
        <f ca="1">RESULTADOS!S27</f>
        <v/>
      </c>
      <c r="AP10" s="111" t="str">
        <f ca="1">RESULTADOS!T27</f>
        <v/>
      </c>
      <c r="AQ10" s="111" t="str">
        <f ca="1">RESULTADOS!U27</f>
        <v/>
      </c>
      <c r="AR10" s="111" t="str">
        <f ca="1">RESULTADOS!V27</f>
        <v/>
      </c>
      <c r="AS10" s="111" t="str">
        <f ca="1">RESULTADOS!W27</f>
        <v/>
      </c>
      <c r="AT10" s="111" t="str">
        <f ca="1">RESULTADOS!X27</f>
        <v/>
      </c>
      <c r="AU10" s="111" t="str">
        <f ca="1">RESULTADOS!Y27</f>
        <v/>
      </c>
      <c r="AV10" s="111" t="str">
        <f ca="1">RESULTADOS!Z27</f>
        <v/>
      </c>
      <c r="AW10" s="111" t="str">
        <f ca="1">RESULTADOS!AA27</f>
        <v/>
      </c>
      <c r="AX10" s="111" t="str">
        <f ca="1">RESULTADOS!AB27</f>
        <v/>
      </c>
      <c r="AY10" s="111" t="str">
        <f ca="1">RESULTADOS!AC27</f>
        <v/>
      </c>
      <c r="AZ10" s="111" t="str">
        <f ca="1">RESULTADOS!AD27</f>
        <v/>
      </c>
      <c r="BA10" s="111" t="str">
        <f ca="1">RESULTADOS!AE27</f>
        <v/>
      </c>
      <c r="BB10" s="111" t="str">
        <f ca="1">RESULTADOS!AF27</f>
        <v/>
      </c>
      <c r="BC10" s="111" t="str">
        <f ca="1">RESULTADOS!AG27</f>
        <v/>
      </c>
      <c r="BD10" s="111" t="str">
        <f ca="1">RESULTADOS!AH27</f>
        <v/>
      </c>
      <c r="BE10" s="111" t="str">
        <f ca="1">RESULTADOS!AI27</f>
        <v/>
      </c>
      <c r="BF10" s="111" t="str">
        <f ca="1">RESULTADOS!AJ27</f>
        <v/>
      </c>
      <c r="BG10" s="111" t="str">
        <f ca="1">RESULTADOS!AK27</f>
        <v/>
      </c>
      <c r="BH10" s="111" t="str">
        <f ca="1">RESULTADOS!AL27</f>
        <v/>
      </c>
      <c r="BI10" s="111" t="str">
        <f ca="1">RESULTADOS!AM27</f>
        <v/>
      </c>
      <c r="BJ10" s="111" t="str">
        <f ca="1">RESULTADOS!AN27</f>
        <v/>
      </c>
      <c r="BK10" s="111" t="str">
        <f ca="1">RESULTADOS!AO27</f>
        <v/>
      </c>
      <c r="BL10" s="111" t="str">
        <f ca="1">RESULTADOS!AP27</f>
        <v/>
      </c>
      <c r="BM10" s="111" t="str">
        <f ca="1">RESULTADOS!AQ27</f>
        <v/>
      </c>
      <c r="BN10" s="111" t="str">
        <f ca="1">RESULTADOS!AR27</f>
        <v/>
      </c>
      <c r="BO10" s="111" t="str">
        <f ca="1">RESULTADOS!AS27</f>
        <v/>
      </c>
      <c r="BP10" s="111" t="str">
        <f ca="1">RESULTADOS!AT27</f>
        <v/>
      </c>
      <c r="BQ10" s="111" t="str">
        <f ca="1">RESULTADOS!AU27</f>
        <v/>
      </c>
      <c r="BR10" s="111" t="str">
        <f ca="1">RESULTADOS!AV27</f>
        <v/>
      </c>
      <c r="BS10" s="111" t="str">
        <f ca="1">RESULTADOS!AW27</f>
        <v/>
      </c>
      <c r="BT10" s="111" t="str">
        <f ca="1">RESULTADOS!AX27</f>
        <v/>
      </c>
      <c r="BU10" s="111" t="str">
        <f ca="1">RESULTADOS!AY27</f>
        <v/>
      </c>
      <c r="BV10" s="111" t="str">
        <f ca="1">RESULTADOS!AZ27</f>
        <v/>
      </c>
      <c r="BW10" s="111" t="str">
        <f ca="1">RESULTADOS!BA27</f>
        <v/>
      </c>
      <c r="BX10" s="111" t="str">
        <f ca="1">RESULTADOS!BB27</f>
        <v/>
      </c>
      <c r="BY10" s="111" t="str">
        <f ca="1">RESULTADOS!BC27</f>
        <v/>
      </c>
      <c r="BZ10" s="111" t="str">
        <f ca="1">RESULTADOS!BD27</f>
        <v/>
      </c>
      <c r="CA10" s="111" t="str">
        <f ca="1">RESULTADOS!BE27</f>
        <v/>
      </c>
      <c r="CB10" s="111" t="str">
        <f ca="1">RESULTADOS!BF27</f>
        <v/>
      </c>
      <c r="CC10" s="111" t="str">
        <f ca="1">RESULTADOS!BG27</f>
        <v/>
      </c>
      <c r="CD10" s="111" t="str">
        <f ca="1">RESULTADOS!BH27</f>
        <v/>
      </c>
      <c r="CE10" s="111" t="str">
        <f ca="1">RESULTADOS!BI27</f>
        <v/>
      </c>
      <c r="CF10" s="111" t="str">
        <f ca="1">RESULTADOS!BJ27</f>
        <v/>
      </c>
      <c r="CG10" s="111" t="str">
        <f ca="1">RESULTADOS!BK27</f>
        <v/>
      </c>
      <c r="CH10" s="111" t="str">
        <f ca="1">RESULTADOS!BL27</f>
        <v/>
      </c>
      <c r="CI10" s="111" t="str">
        <f ca="1">RESULTADOS!BM27</f>
        <v/>
      </c>
      <c r="CJ10" s="111" t="str">
        <f ca="1">RESULTADOS!BN27</f>
        <v/>
      </c>
      <c r="CK10" s="111" t="str">
        <f ca="1">RESULTADOS!BO27</f>
        <v/>
      </c>
      <c r="CL10" s="111" t="str">
        <f ca="1">RESULTADOS!BP27</f>
        <v/>
      </c>
      <c r="CM10" s="111" t="str">
        <f ca="1">RESULTADOS!BQ27</f>
        <v/>
      </c>
      <c r="CN10" s="111" t="str">
        <f ca="1">RESULTADOS!BR27</f>
        <v/>
      </c>
      <c r="CO10" s="111" t="str">
        <f ca="1">RESULTADOS!BS27</f>
        <v/>
      </c>
      <c r="CP10" s="111" t="str">
        <f ca="1">RESULTADOS!BT27</f>
        <v/>
      </c>
      <c r="CQ10" s="111" t="str">
        <f ca="1">RESULTADOS!BU27</f>
        <v/>
      </c>
      <c r="CR10" s="111" t="str">
        <f ca="1">RESULTADOS!BV27</f>
        <v/>
      </c>
      <c r="CS10" s="111" t="str">
        <f ca="1">RESULTADOS!BW27</f>
        <v/>
      </c>
      <c r="CT10" s="111" t="str">
        <f ca="1">RESULTADOS!BX27</f>
        <v/>
      </c>
      <c r="CU10" s="111" t="str">
        <f ca="1">RESULTADOS!BY27</f>
        <v/>
      </c>
      <c r="CV10" s="111" t="str">
        <f ca="1">RESULTADOS!BZ27</f>
        <v/>
      </c>
      <c r="CW10" s="111" t="str">
        <f ca="1">RESULTADOS!CA27</f>
        <v/>
      </c>
      <c r="CX10" s="111" t="str">
        <f ca="1">RESULTADOS!CB27</f>
        <v/>
      </c>
      <c r="CY10" s="111" t="str">
        <f ca="1">RESULTADOS!CC27</f>
        <v/>
      </c>
      <c r="CZ10" s="111" t="str">
        <f ca="1">RESULTADOS!CD27</f>
        <v/>
      </c>
      <c r="DA10" s="111" t="str">
        <f ca="1">RESULTADOS!CE27</f>
        <v/>
      </c>
      <c r="DB10" s="111" t="str">
        <f ca="1">RESULTADOS!CF27</f>
        <v/>
      </c>
      <c r="DC10" s="111" t="str">
        <f ca="1">RESULTADOS!CG27</f>
        <v/>
      </c>
      <c r="DD10" s="111" t="str">
        <f ca="1">RESULTADOS!CH27</f>
        <v/>
      </c>
      <c r="DE10" s="111" t="str">
        <f ca="1">RESULTADOS!CI27</f>
        <v/>
      </c>
      <c r="DF10" s="111" t="str">
        <f ca="1">RESULTADOS!CJ27</f>
        <v/>
      </c>
      <c r="DG10" s="111" t="str">
        <f ca="1">RESULTADOS!CK27</f>
        <v/>
      </c>
      <c r="DH10" s="111" t="str">
        <f ca="1">RESULTADOS!CL27</f>
        <v/>
      </c>
      <c r="DI10" s="111" t="str">
        <f ca="1">RESULTADOS!CM27</f>
        <v/>
      </c>
      <c r="DJ10" s="111" t="str">
        <f ca="1">RESULTADOS!CN27</f>
        <v/>
      </c>
      <c r="DK10" s="111" t="str">
        <f ca="1">RESULTADOS!CO27</f>
        <v/>
      </c>
      <c r="DL10" s="111" t="str">
        <f ca="1">RESULTADOS!CP27</f>
        <v/>
      </c>
      <c r="DM10" s="111" t="str">
        <f ca="1">RESULTADOS!CQ27</f>
        <v/>
      </c>
      <c r="DN10" s="111" t="str">
        <f ca="1">RESULTADOS!CR27</f>
        <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https://www.comunidad.madrid/pjus_sede/</v>
      </c>
      <c r="E11" s="109" t="s">
        <v>70</v>
      </c>
      <c r="F11" s="112" t="str">
        <f>'02.Tecnologías'!F13</f>
        <v>No</v>
      </c>
      <c r="G11" s="112">
        <f>'02.Tecnologías'!K21</f>
        <v>0</v>
      </c>
      <c r="H11" s="112">
        <f>'02.Tecnologías'!L21</f>
        <v>0</v>
      </c>
      <c r="I11" s="162"/>
      <c r="J11" s="162"/>
      <c r="K11" s="109" t="s">
        <v>254</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 la accesobilidad de la sede judicial Electrónico de la comunidad de Madrid</v>
      </c>
      <c r="E12" s="109" t="s">
        <v>57</v>
      </c>
      <c r="F12" s="112" t="str">
        <f>'02.Tecnologías'!I9</f>
        <v>No</v>
      </c>
      <c r="G12" s="112">
        <f>'02.Tecnologías'!K22</f>
        <v>0</v>
      </c>
      <c r="H12" s="112">
        <f>'02.Tecnologías'!L22</f>
        <v>0</v>
      </c>
      <c r="I12" s="162"/>
      <c r="J12" s="162"/>
      <c r="K12" s="22" t="s">
        <v>474</v>
      </c>
      <c r="L12" s="22" t="s">
        <v>257</v>
      </c>
      <c r="M12" s="22" t="s">
        <v>258</v>
      </c>
      <c r="N12" s="22" t="s">
        <v>99</v>
      </c>
      <c r="O12" s="22" t="s">
        <v>259</v>
      </c>
      <c r="P12" s="22" t="s">
        <v>475</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Sede judicial Electrónico de la comunidad de Madrid</v>
      </c>
      <c r="E13" s="109" t="s">
        <v>60</v>
      </c>
      <c r="F13" s="112" t="str">
        <f>'02.Tecnologías'!I10</f>
        <v>No</v>
      </c>
      <c r="G13" s="112">
        <f>'02.Tecnologías'!K23</f>
        <v>0</v>
      </c>
      <c r="H13" s="112">
        <f>'02.Tecnologías'!L23</f>
        <v>0</v>
      </c>
      <c r="I13" s="162"/>
      <c r="J13" s="162"/>
      <c r="K13" t="s">
        <v>476</v>
      </c>
      <c r="L13" s="164" t="str">
        <f ca="1">RESULTADOS!E8</f>
        <v>19 (20,65 %)</v>
      </c>
      <c r="M13" s="164" t="str">
        <f ca="1">RESULTADOS!F8</f>
        <v>14 (15,22 %)</v>
      </c>
      <c r="N13" s="164" t="str">
        <f ca="1">RESULTADOS!G8</f>
        <v>59 (64,13 %)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45197</v>
      </c>
      <c r="E14" s="109" t="s">
        <v>63</v>
      </c>
      <c r="F14" s="112" t="str">
        <f>'02.Tecnologías'!I11</f>
        <v>No</v>
      </c>
      <c r="G14" s="161"/>
      <c r="H14" s="161"/>
      <c r="I14" s="161"/>
      <c r="J14" s="161"/>
      <c r="K14" t="s">
        <v>477</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66</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31</v>
      </c>
      <c r="D17" s="112">
        <f>'01.Definición de ámbito'!C45</f>
        <v>0</v>
      </c>
      <c r="K17" t="s">
        <v>478</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36</v>
      </c>
      <c r="D18" s="112" t="str">
        <f>'01.Definición de ámbito'!D48</f>
        <v>No</v>
      </c>
      <c r="K18" t="s">
        <v>94</v>
      </c>
      <c r="L18" s="113">
        <f ca="1">RESULTADOS!L8</f>
        <v>134</v>
      </c>
      <c r="M18" s="171">
        <f ca="1">RESULTADOS!M8</f>
        <v>0.24275362318840579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38</v>
      </c>
      <c r="D19" s="112" t="str">
        <f>'01.Definición de ámbito'!D49</f>
        <v>No</v>
      </c>
      <c r="K19" t="s">
        <v>96</v>
      </c>
      <c r="L19" s="113">
        <f ca="1">RESULTADOS!L9</f>
        <v>53</v>
      </c>
      <c r="M19" s="171">
        <f ca="1">RESULTADOS!M9</f>
        <v>9.6014492753623185E-2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39</v>
      </c>
      <c r="D20" s="112" t="str">
        <f>'01.Definición de ámbito'!D50</f>
        <v>No</v>
      </c>
      <c r="K20" t="s">
        <v>99</v>
      </c>
      <c r="L20" s="113">
        <f ca="1">RESULTADOS!L10</f>
        <v>365</v>
      </c>
      <c r="M20" s="171">
        <f ca="1">RESULTADOS!M10</f>
        <v>0.66123188405797106</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40</v>
      </c>
      <c r="D21" s="112" t="str">
        <f>'01.Definición de ámbito'!D51</f>
        <v>No</v>
      </c>
      <c r="K21" t="s">
        <v>268</v>
      </c>
      <c r="L21" s="113">
        <f ca="1">RESULTADOS!L11</f>
        <v>552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41</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42</v>
      </c>
      <c r="D23" s="112" t="str">
        <f>'01.Definición de ámbito'!D53</f>
        <v>No</v>
      </c>
      <c r="K23" t="s">
        <v>479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43</v>
      </c>
      <c r="D24" s="112" t="str">
        <f>'01.Definición de ámbito'!D54</f>
        <v>No</v>
      </c>
      <c r="K24" t="s">
        <v>95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44</v>
      </c>
      <c r="D25" s="112" t="str">
        <f>'01.Definición de ámbito'!D55</f>
        <v>No</v>
      </c>
      <c r="K25" t="s">
        <v>97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45</v>
      </c>
      <c r="D26" s="112" t="str">
        <f>'01.Definición de ámbito'!D56</f>
        <v>No</v>
      </c>
      <c r="K26" t="s">
        <v>268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480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46</v>
      </c>
      <c r="D29" s="112" t="str">
        <f>'01.Definición de ámbito'!C58</f>
        <v>Autoevaluación con recursos externos</v>
      </c>
      <c r="K29" t="s">
        <v>481</v>
      </c>
      <c r="L29" s="115">
        <f ca="1">RESULTADOS!F14</f>
        <v>5.76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48</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50</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5"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483</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484</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45197</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30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31</v>
      </c>
      <c r="C45" s="61"/>
      <c r="D45" s="36" t="s">
        <v>32</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33</v>
      </c>
      <c r="C47" s="117" t="s">
        <v>34</v>
      </c>
      <c r="D47" s="116" t="s">
        <v>35</v>
      </c>
      <c r="M47" s="18"/>
      <c r="N47" s="18"/>
      <c r="O47" s="18"/>
      <c r="Q47" s="18"/>
      <c r="R47" s="18"/>
      <c r="S47" s="18"/>
      <c r="U47" s="18"/>
      <c r="V47" s="18"/>
      <c r="W47" s="18"/>
      <c r="X47" s="18"/>
      <c r="Y47" s="18"/>
      <c r="Z47" s="18"/>
    </row>
    <row r="48" spans="2:26" ht="14.85" customHeight="1">
      <c r="C48" s="27" t="s">
        <v>36</v>
      </c>
      <c r="D48" s="19" t="s">
        <v>37</v>
      </c>
      <c r="G48" s="62"/>
    </row>
    <row r="49" spans="2:26" ht="14.85" customHeight="1">
      <c r="C49" s="27" t="s">
        <v>38</v>
      </c>
      <c r="D49" s="19" t="s">
        <v>37</v>
      </c>
      <c r="G49" s="62"/>
    </row>
    <row r="50" spans="2:26" ht="14.85" customHeight="1">
      <c r="C50" s="27" t="s">
        <v>39</v>
      </c>
      <c r="D50" s="19" t="s">
        <v>37</v>
      </c>
      <c r="G50" s="62"/>
    </row>
    <row r="51" spans="2:26" ht="14.85" customHeight="1">
      <c r="C51" s="27" t="s">
        <v>40</v>
      </c>
      <c r="D51" s="19" t="s">
        <v>37</v>
      </c>
      <c r="G51" s="62"/>
    </row>
    <row r="52" spans="2:26" ht="14.85" customHeight="1">
      <c r="C52" s="27" t="s">
        <v>41</v>
      </c>
      <c r="D52" s="19" t="s">
        <v>37</v>
      </c>
      <c r="G52" s="62"/>
    </row>
    <row r="53" spans="2:26" ht="14.85" customHeight="1">
      <c r="C53" s="27" t="s">
        <v>42</v>
      </c>
      <c r="D53" s="19" t="s">
        <v>37</v>
      </c>
      <c r="G53" s="62"/>
    </row>
    <row r="54" spans="2:26" ht="14.85" customHeight="1">
      <c r="C54" s="27" t="s">
        <v>43</v>
      </c>
      <c r="D54" s="19" t="s">
        <v>37</v>
      </c>
      <c r="G54" s="62"/>
    </row>
    <row r="55" spans="2:26" ht="14.85" customHeight="1">
      <c r="C55" s="27" t="s">
        <v>44</v>
      </c>
      <c r="D55" s="19" t="s">
        <v>37</v>
      </c>
      <c r="G55" s="62"/>
    </row>
    <row r="56" spans="2:26" ht="14.85" customHeight="1">
      <c r="C56" s="27" t="s">
        <v>45</v>
      </c>
      <c r="D56" s="19" t="s">
        <v>37</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46</v>
      </c>
      <c r="C58" s="61" t="s">
        <v>47</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48</v>
      </c>
      <c r="C60" s="61" t="s">
        <v>49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50</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51</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52</v>
      </c>
      <c r="C6" s="216"/>
      <c r="D6" s="216"/>
      <c r="E6" s="216"/>
      <c r="F6" s="216"/>
      <c r="G6" s="216"/>
      <c r="H6" s="216"/>
      <c r="I6" s="216"/>
      <c r="J6" s="216"/>
      <c r="K6" s="216"/>
      <c r="L6" s="216"/>
    </row>
    <row r="7" spans="1:60" ht="33.15" customHeight="1" thickTop="1">
      <c r="B7" s="217" t="s">
        <v>53</v>
      </c>
      <c r="C7" s="217"/>
      <c r="D7" s="217"/>
      <c r="E7" s="217"/>
      <c r="F7" s="217"/>
      <c r="G7" s="217"/>
      <c r="H7" s="217"/>
      <c r="I7" s="217"/>
      <c r="J7" s="217"/>
      <c r="K7" s="217"/>
      <c r="L7" s="217"/>
    </row>
    <row r="8" spans="1:60" ht="21.6" customHeight="1"/>
    <row r="9" spans="1:60" ht="17.100000000000001" customHeight="1">
      <c r="B9" s="156" t="s">
        <v>54</v>
      </c>
      <c r="C9" s="157" t="s">
        <v>55</v>
      </c>
      <c r="E9" s="156" t="s">
        <v>56</v>
      </c>
      <c r="F9" s="157" t="s">
        <v>37</v>
      </c>
      <c r="H9" s="156" t="s">
        <v>57</v>
      </c>
      <c r="I9" s="157" t="s">
        <v>37</v>
      </c>
    </row>
    <row r="10" spans="1:60" ht="17.100000000000001" customHeight="1">
      <c r="B10" s="156" t="s">
        <v>58</v>
      </c>
      <c r="C10" s="157" t="s">
        <v>37</v>
      </c>
      <c r="E10" s="156" t="s">
        <v>59</v>
      </c>
      <c r="F10" s="157" t="s">
        <v>37</v>
      </c>
      <c r="H10" s="156" t="s">
        <v>60</v>
      </c>
      <c r="I10" s="157" t="s">
        <v>37</v>
      </c>
    </row>
    <row r="11" spans="1:60" ht="17.100000000000001" customHeight="1">
      <c r="B11" s="156" t="s">
        <v>61</v>
      </c>
      <c r="C11" s="157" t="s">
        <v>37</v>
      </c>
      <c r="E11" s="156" t="s">
        <v>62</v>
      </c>
      <c r="F11" s="157" t="s">
        <v>37</v>
      </c>
      <c r="H11" s="156" t="s">
        <v>63</v>
      </c>
      <c r="I11" s="157" t="s">
        <v>37</v>
      </c>
    </row>
    <row r="12" spans="1:60" ht="17.100000000000001" customHeight="1">
      <c r="B12" s="156" t="s">
        <v>64</v>
      </c>
      <c r="C12" s="157" t="s">
        <v>55</v>
      </c>
      <c r="E12" s="156" t="s">
        <v>65</v>
      </c>
      <c r="F12" s="157" t="s">
        <v>37</v>
      </c>
      <c r="H12" s="156" t="s">
        <v>66</v>
      </c>
      <c r="I12" s="157" t="s">
        <v>37</v>
      </c>
      <c r="K12" s="158" t="s">
        <v>67</v>
      </c>
      <c r="L12" s="158" t="s">
        <v>68</v>
      </c>
    </row>
    <row r="13" spans="1:60" ht="17.100000000000001" customHeight="1">
      <c r="B13" s="156" t="s">
        <v>69</v>
      </c>
      <c r="C13" s="157" t="s">
        <v>55</v>
      </c>
      <c r="E13" s="156" t="s">
        <v>70</v>
      </c>
      <c r="F13" s="157" t="s">
        <v>37</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8" t="s">
        <v>71</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12" sqref="F12"/>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72</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73</v>
      </c>
      <c r="C7" s="104" t="s">
        <v>74</v>
      </c>
      <c r="D7" s="104" t="s">
        <v>75</v>
      </c>
      <c r="E7" s="104" t="s">
        <v>76</v>
      </c>
      <c r="F7" s="104" t="s">
        <v>77</v>
      </c>
      <c r="G7" s="104" t="s">
        <v>78</v>
      </c>
      <c r="H7" s="104" t="s">
        <v>79</v>
      </c>
      <c r="I7" s="18"/>
      <c r="J7" s="18"/>
      <c r="K7" s="18"/>
      <c r="L7" s="18"/>
      <c r="M7" s="18"/>
      <c r="N7" s="18"/>
      <c r="O7" s="18"/>
      <c r="P7" s="18"/>
      <c r="Q7" s="18"/>
      <c r="R7" s="18"/>
      <c r="S7" s="18"/>
      <c r="T7" s="18"/>
      <c r="U7" s="18"/>
      <c r="V7" s="18"/>
      <c r="W7" s="18"/>
      <c r="X7" s="18"/>
      <c r="Y7" s="18"/>
    </row>
    <row r="8" spans="1:64" ht="18.149999999999999" customHeight="1">
      <c r="B8" s="102">
        <v>1</v>
      </c>
      <c r="C8" s="103" t="s">
        <v>485</v>
      </c>
      <c r="D8" s="53" t="s">
        <v>486</v>
      </c>
      <c r="E8" s="53" t="s">
        <v>427</v>
      </c>
      <c r="F8" s="123" t="s">
        <v>482</v>
      </c>
      <c r="G8" s="53" t="s">
        <v>485</v>
      </c>
      <c r="H8" s="143" t="s">
        <v>80</v>
      </c>
      <c r="I8" s="18"/>
      <c r="J8" s="18"/>
      <c r="K8" s="18"/>
      <c r="L8" s="18"/>
      <c r="M8" s="18"/>
      <c r="N8" s="18"/>
      <c r="O8" s="18"/>
      <c r="P8" s="18"/>
      <c r="Q8" s="18"/>
      <c r="R8" s="18"/>
      <c r="S8" s="18"/>
      <c r="T8" s="18"/>
      <c r="U8" s="18"/>
      <c r="V8" s="18"/>
      <c r="W8" s="18"/>
      <c r="X8" s="18"/>
      <c r="Y8" s="18"/>
    </row>
    <row r="9" spans="1:64" ht="18.149999999999999" customHeight="1">
      <c r="B9" s="51">
        <v>2</v>
      </c>
      <c r="C9" s="52" t="s">
        <v>489</v>
      </c>
      <c r="D9" s="53" t="s">
        <v>486</v>
      </c>
      <c r="E9" s="53" t="s">
        <v>444</v>
      </c>
      <c r="F9" s="123" t="s">
        <v>487</v>
      </c>
      <c r="G9" s="53" t="s">
        <v>488</v>
      </c>
      <c r="H9" s="101"/>
      <c r="I9" s="18"/>
      <c r="J9" s="18"/>
      <c r="K9" s="18"/>
      <c r="L9" s="18"/>
      <c r="M9" s="18"/>
      <c r="N9" s="18"/>
      <c r="O9" s="18"/>
      <c r="P9" s="18"/>
      <c r="Q9" s="18"/>
      <c r="R9" s="18"/>
      <c r="S9" s="18"/>
      <c r="T9" s="18"/>
      <c r="U9" s="18"/>
      <c r="V9" s="18"/>
      <c r="W9" s="18"/>
      <c r="X9" s="18"/>
      <c r="Y9" s="18"/>
    </row>
    <row r="10" spans="1:64" ht="18.149999999999999" customHeight="1">
      <c r="B10" s="51">
        <v>3</v>
      </c>
      <c r="C10" s="52" t="s">
        <v>490</v>
      </c>
      <c r="D10" s="53" t="s">
        <v>486</v>
      </c>
      <c r="E10" s="53" t="s">
        <v>446</v>
      </c>
      <c r="F10" s="123" t="s">
        <v>499</v>
      </c>
      <c r="G10" s="53" t="s">
        <v>491</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500</v>
      </c>
      <c r="D11" s="53" t="s">
        <v>486</v>
      </c>
      <c r="E11" s="53" t="s">
        <v>446</v>
      </c>
      <c r="F11" s="123" t="s">
        <v>494</v>
      </c>
      <c r="G11" s="53" t="s">
        <v>492</v>
      </c>
      <c r="H11" s="101" t="s">
        <v>32</v>
      </c>
      <c r="I11" s="18"/>
      <c r="J11" s="18"/>
      <c r="K11" s="18"/>
      <c r="L11" s="18"/>
      <c r="M11" s="18"/>
      <c r="N11" s="18"/>
      <c r="O11" s="18"/>
      <c r="P11" s="18"/>
      <c r="Q11" s="18"/>
      <c r="R11" s="18"/>
      <c r="S11" s="18"/>
      <c r="T11" s="18"/>
      <c r="U11" s="18"/>
      <c r="V11" s="18"/>
      <c r="W11" s="18"/>
      <c r="X11" s="18"/>
      <c r="Y11" s="18"/>
    </row>
    <row r="12" spans="1:64" ht="18.149999999999999" customHeight="1">
      <c r="B12" s="51">
        <v>5</v>
      </c>
      <c r="C12" s="52" t="s">
        <v>440</v>
      </c>
      <c r="D12" s="53" t="s">
        <v>486</v>
      </c>
      <c r="E12" s="53" t="s">
        <v>446</v>
      </c>
      <c r="F12" s="123" t="s">
        <v>495</v>
      </c>
      <c r="G12" s="53" t="s">
        <v>493</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496</v>
      </c>
      <c r="D13" s="53" t="s">
        <v>486</v>
      </c>
      <c r="E13" s="53" t="s">
        <v>431</v>
      </c>
      <c r="F13" s="123" t="s">
        <v>497</v>
      </c>
      <c r="G13" s="53" t="s">
        <v>498</v>
      </c>
      <c r="H13" s="101"/>
      <c r="I13" s="18"/>
      <c r="J13" s="18"/>
      <c r="K13" s="18"/>
      <c r="L13" s="18"/>
      <c r="M13" s="18"/>
      <c r="N13" s="18"/>
      <c r="O13" s="18"/>
      <c r="P13" s="18"/>
      <c r="Q13" s="18"/>
      <c r="R13" s="18"/>
      <c r="S13" s="18"/>
      <c r="T13" s="18"/>
      <c r="V13" s="18"/>
      <c r="W13" s="18"/>
      <c r="X13" s="18"/>
      <c r="Y13" s="18"/>
    </row>
    <row r="14" spans="1:64" ht="18.149999999999999" customHeight="1">
      <c r="B14" s="51">
        <v>7</v>
      </c>
      <c r="C14" s="52"/>
      <c r="D14" s="53"/>
      <c r="E14" s="53"/>
      <c r="F14" s="123"/>
      <c r="G14" s="53"/>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c r="D15" s="53"/>
      <c r="E15" s="53"/>
      <c r="F15" s="123"/>
      <c r="G15" s="53"/>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81</v>
      </c>
      <c r="C45" s="56"/>
      <c r="D45" s="57">
        <f>COUNTA(F8:F42)</f>
        <v>6</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82</v>
      </c>
      <c r="C47" s="56"/>
      <c r="D47" s="57">
        <f>D45-D49</f>
        <v>5</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83</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84</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15" zoomScale="70" zoomScaleNormal="70" workbookViewId="0">
      <selection activeCell="D95" sqref="D95:D100"/>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86</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42"/>
      <c r="P11" s="18"/>
      <c r="Q11" s="18"/>
      <c r="R11" s="18"/>
      <c r="U11" s="18"/>
      <c r="V11" s="18"/>
      <c r="W11" s="18"/>
      <c r="X11" s="18"/>
      <c r="Y11" s="18"/>
    </row>
    <row r="12" spans="1:64" ht="12" customHeight="1">
      <c r="B12" s="108" t="s">
        <v>93</v>
      </c>
      <c r="C12" s="198">
        <f>COUNTIF($B$18:$B$3773,B12)</f>
        <v>3</v>
      </c>
      <c r="D12" s="26"/>
      <c r="E12" s="14"/>
      <c r="F12" s="199" t="s">
        <v>94</v>
      </c>
      <c r="G12" s="72">
        <f ca="1">J20+J58+J96</f>
        <v>0</v>
      </c>
      <c r="H12" s="42">
        <f ca="1">IF(($G$15+$K$15)=0,0,G12/($G$15+$K$15))</f>
        <v>0</v>
      </c>
      <c r="I12" s="26"/>
      <c r="J12" s="183" t="s">
        <v>95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f>
        <v>0</v>
      </c>
      <c r="H13" s="42">
        <f ca="1">IF(($G$15+$K$15)=0,0,G13/($G$15+$K$15))</f>
        <v>0</v>
      </c>
      <c r="I13" s="26"/>
      <c r="J13" s="183" t="s">
        <v>97</v>
      </c>
      <c r="K13" s="72">
        <f ca="1">F20+F58+F96</f>
        <v>0</v>
      </c>
      <c r="L13" s="42">
        <f ca="1">IF(($G$15+$K$15)=0,0,K13/($G$15+$K$15))</f>
        <v>0</v>
      </c>
      <c r="M13" s="18"/>
      <c r="N13" s="18"/>
      <c r="O13" s="18"/>
      <c r="P13" s="18"/>
      <c r="Q13" s="18"/>
      <c r="R13" s="18"/>
      <c r="U13" s="18"/>
      <c r="V13" s="18"/>
      <c r="W13" s="18"/>
      <c r="X13" s="18"/>
      <c r="Y13" s="18"/>
    </row>
    <row r="14" spans="1:64" ht="12" customHeight="1" thickBot="1">
      <c r="B14" s="200" t="s">
        <v>98</v>
      </c>
      <c r="C14" s="201">
        <f>C12+C13</f>
        <v>3</v>
      </c>
      <c r="D14" s="26"/>
      <c r="E14" s="14"/>
      <c r="F14" s="199" t="s">
        <v>99</v>
      </c>
      <c r="G14" s="72">
        <f ca="1">H20+H58+H96</f>
        <v>18</v>
      </c>
      <c r="H14" s="42">
        <f ca="1">IF(($G$15+$K$15)=0,0,G14/($G$15+$K$15))</f>
        <v>1</v>
      </c>
      <c r="I14" s="26"/>
      <c r="J14" s="177" t="s">
        <v>100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18</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102</v>
      </c>
      <c r="D18" s="25" t="s">
        <v>103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https://www.comunidad.madrid/pjus_sede/</v>
      </c>
      <c r="D19" s="99" t="s">
        <v>106</v>
      </c>
      <c r="E19" s="79" t="str">
        <f t="shared" ref="E19:E53" si="0">IF(D19&lt;&gt;"",IF(AND(B19&lt;&gt;"",C19&lt;&gt;""),"","ERR"),"")</f>
        <v/>
      </c>
      <c r="F19" s="86" t="s">
        <v>104</v>
      </c>
      <c r="G19" s="87" t="s">
        <v>105</v>
      </c>
      <c r="H19" s="88" t="s">
        <v>106</v>
      </c>
      <c r="I19" s="89" t="s">
        <v>96</v>
      </c>
      <c r="J19" s="90" t="s">
        <v>94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Accesibilidad</v>
      </c>
      <c r="C20" s="174" t="str" cm="1">
        <f t="array" ref="C20">IFERROR(INDEX('03.Muestra'!$F$8:$F$42,SMALL(IF("Página Web"='03.Muestra'!$D$8:$D$42,ROW('03.Muestra'!$F$8:$F$42)-MIN(ROW('03.Muestra'!$D$8:$D$42))+1,""),ROW()-18)),"")</f>
        <v>https://www.comunidad.madrid/pjus_sede/node/35</v>
      </c>
      <c r="D20" s="99" t="s">
        <v>106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Conozca la sede</v>
      </c>
      <c r="C21" s="174" t="str" cm="1">
        <f t="array" ref="C21">IFERROR(INDEX('03.Muestra'!$F$8:$F$42,SMALL(IF("Página Web"='03.Muestra'!$D$8:$D$42,ROW('03.Muestra'!$F$8:$F$42)-MIN(ROW('03.Muestra'!$D$8:$D$42))+1,""),ROW()-18)),"")</f>
        <v>https://www.comunidad.madrid/pjus_sede/conozcalasede</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Tramites y servicios</v>
      </c>
      <c r="C22" s="174" t="str" cm="1">
        <f t="array" ref="C22">IFERROR(INDEX('03.Muestra'!$F$8:$F$42,SMALL(IF("Página Web"='03.Muestra'!$D$8:$D$42,ROW('03.Muestra'!$F$8:$F$42)-MIN(ROW('03.Muestra'!$D$8:$D$42))+1,""),ROW()-18)),"")</f>
        <v>https://www.comunidad.madrid/pjus_sede/tramitesyservicios</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Ayuda</v>
      </c>
      <c r="C23" s="174" t="str" cm="1">
        <f t="array" ref="C23">IFERROR(INDEX('03.Muestra'!$F$8:$F$42,SMALL(IF("Página Web"='03.Muestra'!$D$8:$D$42,ROW('03.Muestra'!$F$8:$F$42)-MIN(ROW('03.Muestra'!$D$8:$D$42))+1,""),ROW()-18)),"")</f>
        <v>https://www.comunidad.madrid/pjus_sede/ayuda</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Resultados de búsqueda</v>
      </c>
      <c r="C24" s="174" t="str" cm="1">
        <f t="array" ref="C24">IFERROR(INDEX('03.Muestra'!$F$8:$F$42,SMALL(IF("Página Web"='03.Muestra'!$D$8:$D$42,ROW('03.Muestra'!$F$8:$F$42)-MIN(ROW('03.Muestra'!$D$8:$D$42))+1,""),ROW()-18)),"")</f>
        <v>https://www.comunidad.madrid/pjus_sede/search/node/sugerencias</v>
      </c>
      <c r="D24" s="99" t="s">
        <v>106</v>
      </c>
      <c r="E24" s="79" t="str">
        <f t="shared" si="0"/>
        <v/>
      </c>
      <c r="F24" s="18"/>
      <c r="G24" s="18"/>
      <c r="H24" s="18"/>
      <c r="I24" s="18"/>
      <c r="K24" s="87" t="s">
        <v>105</v>
      </c>
      <c r="L24" s="92" t="s">
        <v>109</v>
      </c>
      <c r="AD24" s="18"/>
    </row>
    <row r="25" spans="1:30" ht="12" customHeight="1">
      <c r="A25" s="39" t="str" cm="1">
        <f t="array" ref="A25">IFERROR(INDEX('03.Muestra'!$B$8:$B$42,SMALL(IF("Página Web"='03.Muestra'!$D$8:$D$42,ROW('03.Muestra'!$B$8:$B$42)-MIN(ROW('03.Muestra'!$D$8:$D$42))+1,""),ROW()-18)),"")</f>
        <v/>
      </c>
      <c r="B25" s="174" t="str" cm="1">
        <f t="array" ref="B25">IFERROR(INDEX('03.Muestra'!$C$8:$C$42,SMALL(IF("Página Web"='03.Muestra'!$D$8:$D$42,ROW('03.Muestra'!$C$8:$C$42)-MIN(ROW('03.Muestra'!$D$8:$D$42))+1,""),ROW()-18)),"")</f>
        <v/>
      </c>
      <c r="C25" s="174"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174" t="str" cm="1">
        <f t="array" ref="B26">IFERROR(INDEX('03.Muestra'!$C$8:$C$42,SMALL(IF("Página Web"='03.Muestra'!$D$8:$D$42,ROW('03.Muestra'!$C$8:$C$42)-MIN(ROW('03.Muestra'!$D$8:$D$42))+1,""),ROW()-18)),"")</f>
        <v/>
      </c>
      <c r="C26" s="174" t="str" cm="1">
        <f t="array" ref="C26">IFERROR(INDEX('03.Muestra'!$F$8:$F$42,SMALL(IF("Página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110</v>
      </c>
      <c r="D56" s="25" t="s">
        <v>103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https://www.comunidad.madrid/pjus_sede/</v>
      </c>
      <c r="D57" s="99" t="s">
        <v>106</v>
      </c>
      <c r="E57" s="79" t="str">
        <f t="shared" ref="E57:E91" si="2">IF(D57&lt;&gt;"",IF(AND(B57&lt;&gt;"",C57&lt;&gt;""),"","ERR"),"")</f>
        <v/>
      </c>
      <c r="F57" s="86" t="s">
        <v>104</v>
      </c>
      <c r="G57" s="87" t="s">
        <v>105</v>
      </c>
      <c r="H57" s="88" t="s">
        <v>106</v>
      </c>
      <c r="I57" s="89" t="s">
        <v>96</v>
      </c>
      <c r="J57" s="90" t="s">
        <v>94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Accesibilidad</v>
      </c>
      <c r="C58" s="175" t="str" cm="1">
        <f t="array" ref="C58">IFERROR(INDEX('03.Muestra'!$F$8:$F$42,SMALL(IF("Página Web"='03.Muestra'!$D$8:$D$42,ROW('03.Muestra'!$F$8:$F$42)-MIN(ROW('03.Muestra'!$D$8:$D$42))+1,""),ROW()-56)),"")</f>
        <v>https://www.comunidad.madrid/pjus_sede/node/35</v>
      </c>
      <c r="D58" s="99" t="s">
        <v>106</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Conozca la sede</v>
      </c>
      <c r="C59" s="175" t="str" cm="1">
        <f t="array" ref="C59">IFERROR(INDEX('03.Muestra'!$F$8:$F$42,SMALL(IF("Página Web"='03.Muestra'!$D$8:$D$42,ROW('03.Muestra'!$F$8:$F$42)-MIN(ROW('03.Muestra'!$D$8:$D$42))+1,""),ROW()-56)),"")</f>
        <v>https://www.comunidad.madrid/pjus_sede/conozcalasede</v>
      </c>
      <c r="D59" s="99" t="s">
        <v>106</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Tramites y servicios</v>
      </c>
      <c r="C60" s="175" t="str" cm="1">
        <f t="array" ref="C60">IFERROR(INDEX('03.Muestra'!$F$8:$F$42,SMALL(IF("Página Web"='03.Muestra'!$D$8:$D$42,ROW('03.Muestra'!$F$8:$F$42)-MIN(ROW('03.Muestra'!$D$8:$D$42))+1,""),ROW()-56)),"")</f>
        <v>https://www.comunidad.madrid/pjus_sede/tramitesyservicios</v>
      </c>
      <c r="D60" s="99" t="s">
        <v>106</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Ayuda</v>
      </c>
      <c r="C61" s="175" t="str" cm="1">
        <f t="array" ref="C61">IFERROR(INDEX('03.Muestra'!$F$8:$F$42,SMALL(IF("Página Web"='03.Muestra'!$D$8:$D$42,ROW('03.Muestra'!$F$8:$F$42)-MIN(ROW('03.Muestra'!$D$8:$D$42))+1,""),ROW()-56)),"")</f>
        <v>https://www.comunidad.madrid/pjus_sede/ayuda</v>
      </c>
      <c r="D61" s="99" t="s">
        <v>106</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Resultados de búsqueda</v>
      </c>
      <c r="C62" s="175" t="str" cm="1">
        <f t="array" ref="C62">IFERROR(INDEX('03.Muestra'!$F$8:$F$42,SMALL(IF("Página Web"='03.Muestra'!$D$8:$D$42,ROW('03.Muestra'!$F$8:$F$42)-MIN(ROW('03.Muestra'!$D$8:$D$42))+1,""),ROW()-56)),"")</f>
        <v>https://www.comunidad.madrid/pjus_sede/search/node/sugerencias</v>
      </c>
      <c r="D62" s="99" t="s">
        <v>106</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t="str" cm="1">
        <f t="array" ref="A63">IFERROR(INDEX('03.Muestra'!$B$8:$B$42,SMALL(IF("Página Web"='03.Muestra'!$D$8:$D$42,ROW('03.Muestra'!$B$8:$B$42)-MIN(ROW('03.Muestra'!$D$8:$D$42))+1,""),ROW()-56)),"")</f>
        <v/>
      </c>
      <c r="B63" s="175" t="str" cm="1">
        <f t="array" ref="B63">IFERROR(INDEX('03.Muestra'!$C$8:$C$42,SMALL(IF("Página Web"='03.Muestra'!$D$8:$D$42,ROW('03.Muestra'!$C$8:$C$42)-MIN(ROW('03.Muestra'!$D$8:$D$42))+1,""),ROW()-56)),"")</f>
        <v/>
      </c>
      <c r="C63" s="17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t="str" cm="1">
        <f t="array" ref="A64">IFERROR(INDEX('03.Muestra'!$B$8:$B$42,SMALL(IF("Página Web"='03.Muestra'!$D$8:$D$42,ROW('03.Muestra'!$B$8:$B$42)-MIN(ROW('03.Muestra'!$D$8:$D$42))+1,""),ROW()-56)),"")</f>
        <v/>
      </c>
      <c r="B64" s="175" t="str" cm="1">
        <f t="array" ref="B64">IFERROR(INDEX('03.Muestra'!$C$8:$C$42,SMALL(IF("Página Web"='03.Muestra'!$D$8:$D$42,ROW('03.Muestra'!$C$8:$C$42)-MIN(ROW('03.Muestra'!$D$8:$D$42))+1,""),ROW()-56)),"")</f>
        <v/>
      </c>
      <c r="C64" s="175" t="str" cm="1">
        <f t="array" ref="C64">IFERROR(INDEX('03.Muestra'!$F$8:$F$42,SMALL(IF("Página Web"='03.Muestra'!$D$8:$D$42,ROW('03.Muestra'!$F$8:$F$42)-MIN(ROW('03.Muestra'!$D$8:$D$42))+1,""),ROW()-56)),"")</f>
        <v/>
      </c>
      <c r="D64" s="99" t="str">
        <f t="shared" si="3"/>
        <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si="3"/>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101</v>
      </c>
      <c r="B94" s="23" t="s">
        <v>93</v>
      </c>
      <c r="C94" s="24" t="s">
        <v>111</v>
      </c>
      <c r="D94" s="25" t="s">
        <v>103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https://www.comunidad.madrid/pjus_sede/</v>
      </c>
      <c r="D95" s="99" t="s">
        <v>106</v>
      </c>
      <c r="E95" s="79" t="str">
        <f t="shared" ref="E95:E129" si="4">IF(D95&lt;&gt;"",IF(AND(B95&lt;&gt;"",C95&lt;&gt;""),"","ERR"),"")</f>
        <v/>
      </c>
      <c r="F95" s="86" t="s">
        <v>104</v>
      </c>
      <c r="G95" s="87" t="s">
        <v>105</v>
      </c>
      <c r="H95" s="88" t="s">
        <v>106</v>
      </c>
      <c r="I95" s="89" t="s">
        <v>96</v>
      </c>
      <c r="J95" s="90" t="s">
        <v>94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Accesibilidad</v>
      </c>
      <c r="C96" s="175" t="str" cm="1">
        <f t="array" ref="C96">IFERROR(INDEX('03.Muestra'!$F$8:$F$42,SMALL(IF("Página Web"='03.Muestra'!$D$8:$D$42,ROW('03.Muestra'!$F$8:$F$42)-MIN(ROW('03.Muestra'!$D$8:$D$42))+1,""),ROW()-94)),"")</f>
        <v>https://www.comunidad.madrid/pjus_sede/node/35</v>
      </c>
      <c r="D96" s="99" t="s">
        <v>106</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Conozca la sede</v>
      </c>
      <c r="C97" s="175" t="str" cm="1">
        <f t="array" ref="C97">IFERROR(INDEX('03.Muestra'!$F$8:$F$42,SMALL(IF("Página Web"='03.Muestra'!$D$8:$D$42,ROW('03.Muestra'!$F$8:$F$42)-MIN(ROW('03.Muestra'!$D$8:$D$42))+1,""),ROW()-94)),"")</f>
        <v>https://www.comunidad.madrid/pjus_sede/conozcalasede</v>
      </c>
      <c r="D97" s="99" t="s">
        <v>106</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Tramites y servicios</v>
      </c>
      <c r="C98" s="175" t="str" cm="1">
        <f t="array" ref="C98">IFERROR(INDEX('03.Muestra'!$F$8:$F$42,SMALL(IF("Página Web"='03.Muestra'!$D$8:$D$42,ROW('03.Muestra'!$F$8:$F$42)-MIN(ROW('03.Muestra'!$D$8:$D$42))+1,""),ROW()-94)),"")</f>
        <v>https://www.comunidad.madrid/pjus_sede/tramitesyservicios</v>
      </c>
      <c r="D98" s="99" t="s">
        <v>106</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Ayuda</v>
      </c>
      <c r="C99" s="175" t="str" cm="1">
        <f t="array" ref="C99">IFERROR(INDEX('03.Muestra'!$F$8:$F$42,SMALL(IF("Página Web"='03.Muestra'!$D$8:$D$42,ROW('03.Muestra'!$F$8:$F$42)-MIN(ROW('03.Muestra'!$D$8:$D$42))+1,""),ROW()-94)),"")</f>
        <v>https://www.comunidad.madrid/pjus_sede/ayuda</v>
      </c>
      <c r="D99" s="99" t="s">
        <v>106</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Resultados de búsqueda</v>
      </c>
      <c r="C100" s="175" t="str" cm="1">
        <f t="array" ref="C100">IFERROR(INDEX('03.Muestra'!$F$8:$F$42,SMALL(IF("Página Web"='03.Muestra'!$D$8:$D$42,ROW('03.Muestra'!$F$8:$F$42)-MIN(ROW('03.Muestra'!$D$8:$D$42))+1,""),ROW()-94)),"")</f>
        <v>https://www.comunidad.madrid/pjus_sede/search/node/sugerencias</v>
      </c>
      <c r="D100" s="99" t="s">
        <v>106</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t="str" cm="1">
        <f t="array" ref="A101">IFERROR(INDEX('03.Muestra'!$B$8:$B$42,SMALL(IF("Página Web"='03.Muestra'!$D$8:$D$42,ROW('03.Muestra'!$B$8:$B$42)-MIN(ROW('03.Muestra'!$D$8:$D$42))+1,""),ROW()-94)),"")</f>
        <v/>
      </c>
      <c r="B101" s="175" t="str" cm="1">
        <f t="array" ref="B101">IFERROR(INDEX('03.Muestra'!$C$8:$C$42,SMALL(IF("Página Web"='03.Muestra'!$D$8:$D$42,ROW('03.Muestra'!$C$8:$C$42)-MIN(ROW('03.Muestra'!$D$8:$D$42))+1,""),ROW()-94)),"")</f>
        <v/>
      </c>
      <c r="C101" s="17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t="str" cm="1">
        <f t="array" ref="A102">IFERROR(INDEX('03.Muestra'!$B$8:$B$42,SMALL(IF("Página Web"='03.Muestra'!$D$8:$D$42,ROW('03.Muestra'!$B$8:$B$42)-MIN(ROW('03.Muestra'!$D$8:$D$42))+1,""),ROW()-94)),"")</f>
        <v/>
      </c>
      <c r="B102" s="175" t="str" cm="1">
        <f t="array" ref="B102">IFERROR(INDEX('03.Muestra'!$C$8:$C$42,SMALL(IF("Página Web"='03.Muestra'!$D$8:$D$42,ROW('03.Muestra'!$C$8:$C$42)-MIN(ROW('03.Muestra'!$D$8:$D$42))+1,""),ROW()-94)),"")</f>
        <v/>
      </c>
      <c r="C102" s="175" t="str" cm="1">
        <f t="array" ref="C102">IFERROR(INDEX('03.Muestra'!$F$8:$F$42,SMALL(IF("Página Web"='03.Muestra'!$D$8:$D$42,ROW('03.Muestra'!$F$8:$F$42)-MIN(ROW('03.Muestra'!$D$8:$D$42))+1,""),ROW()-94)),"")</f>
        <v/>
      </c>
      <c r="D102" s="99" t="str">
        <f t="shared" si="5"/>
        <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si="5"/>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22" zoomScale="77" zoomScaleNormal="77" workbookViewId="0">
      <selection activeCell="D703" sqref="D703:D70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COUNTIF($B$18:$B$4418,B12)</f>
        <v>19</v>
      </c>
      <c r="D12" s="26"/>
      <c r="E12" s="14"/>
      <c r="F12" s="199" t="s">
        <v>94</v>
      </c>
      <c r="G12" s="72">
        <f ca="1">J20+J58+J96+J134+J172+J210+J248+J286+J324+J362+J400+J438+J476+J514+J552+J590+J628+J666+J704</f>
        <v>0</v>
      </c>
      <c r="H12" s="42">
        <f ca="1">IF(($G$15+$K$15)=0,0,G12/($G$15+$K$15))</f>
        <v>0</v>
      </c>
      <c r="I12" s="26"/>
      <c r="J12" s="183" t="s">
        <v>95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f>
        <v>0</v>
      </c>
      <c r="H13" s="42">
        <f ca="1">IF(($G$15+$K$15)=0,0,G13/($G$15+$K$15))</f>
        <v>0</v>
      </c>
      <c r="I13" s="26"/>
      <c r="J13" s="183" t="s">
        <v>97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98</v>
      </c>
      <c r="C14" s="201">
        <f>C12+C13</f>
        <v>19</v>
      </c>
      <c r="D14" s="26"/>
      <c r="E14" s="14"/>
      <c r="F14" s="199" t="s">
        <v>99</v>
      </c>
      <c r="G14" s="72">
        <f ca="1">H20+H58+H96+H134+H172+H210+H248+H286+H324+H362+H400+H438+H476+H514+H552+H590+H628+H666+H704</f>
        <v>114</v>
      </c>
      <c r="H14" s="42">
        <f ca="1">IF(($G$15+$K$15)=0,0,G14/($G$15+$K$15))</f>
        <v>1</v>
      </c>
      <c r="I14" s="26"/>
      <c r="J14" s="177" t="s">
        <v>100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114</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114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https://www.comunidad.madrid/pjus_sede/</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https://www.comunidad.madrid/pjus_sede/node/35</v>
      </c>
      <c r="D20" s="99" t="s">
        <v>106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Conozca la sede</v>
      </c>
      <c r="C21" s="85" t="str" cm="1">
        <f t="array" ref="C21">IFERROR(INDEX('03.Muestra'!$F$8:$F$42,SMALL(IF("Página Web"='03.Muestra'!$D$8:$D$42,ROW('03.Muestra'!$F$8:$F$42)-MIN(ROW('03.Muestra'!$D$8:$D$42))+1,""),ROW()-18)),"")</f>
        <v>https://www.comunidad.madrid/pjus_sede/conozcalasede</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Tramites y servicios</v>
      </c>
      <c r="C22" s="85" t="str" cm="1">
        <f t="array" ref="C22">IFERROR(INDEX('03.Muestra'!$F$8:$F$42,SMALL(IF("Página Web"='03.Muestra'!$D$8:$D$42,ROW('03.Muestra'!$F$8:$F$42)-MIN(ROW('03.Muestra'!$D$8:$D$42))+1,""),ROW()-18)),"")</f>
        <v>https://www.comunidad.madrid/pjus_sede/tramitesyservicios</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Ayuda</v>
      </c>
      <c r="C23" s="85" t="str" cm="1">
        <f t="array" ref="C23">IFERROR(INDEX('03.Muestra'!$F$8:$F$42,SMALL(IF("Página Web"='03.Muestra'!$D$8:$D$42,ROW('03.Muestra'!$F$8:$F$42)-MIN(ROW('03.Muestra'!$D$8:$D$42))+1,""),ROW()-18)),"")</f>
        <v>https://www.comunidad.madrid/pjus_sede/ayuda</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Resultados de búsqueda</v>
      </c>
      <c r="C24" s="85" t="str" cm="1">
        <f t="array" ref="C24">IFERROR(INDEX('03.Muestra'!$F$8:$F$42,SMALL(IF("Página Web"='03.Muestra'!$D$8:$D$42,ROW('03.Muestra'!$F$8:$F$42)-MIN(ROW('03.Muestra'!$D$8:$D$42))+1,""),ROW()-18)),"")</f>
        <v>https://www.comunidad.madrid/pjus_sede/search/node/sugerencias</v>
      </c>
      <c r="D24" s="99" t="s">
        <v>106</v>
      </c>
      <c r="E24" s="79" t="str">
        <f t="shared" si="0"/>
        <v/>
      </c>
      <c r="F24" s="18"/>
      <c r="G24" s="18"/>
      <c r="H24" s="18"/>
      <c r="I24" s="18"/>
      <c r="K24" s="87" t="s">
        <v>105</v>
      </c>
      <c r="L24" s="92" t="s">
        <v>109</v>
      </c>
      <c r="AD24" s="18"/>
    </row>
    <row r="25" spans="1:30" ht="12" customHeight="1">
      <c r="A25" s="39" t="str" cm="1">
        <f t="array" ref="A25">IFERROR(INDEX('03.Muestra'!$B$8:$B$42,SMALL(IF("Página Web"='03.Muestra'!$D$8:$D$42,ROW('03.Muestra'!$B$8:$B$42)-MIN(ROW('03.Muestra'!$D$8:$D$42))+1,""),ROW()-18)),"")</f>
        <v/>
      </c>
      <c r="B25" s="85" t="str" cm="1">
        <f t="array" ref="B25">IFERROR(INDEX('03.Muestra'!$C$8:$C$42,SMALL(IF("Página Web"='03.Muestra'!$D$8:$D$42,ROW('03.Muestra'!$C$8:$C$42)-MIN(ROW('03.Muestra'!$D$8:$D$42))+1,""),ROW()-18)),"")</f>
        <v/>
      </c>
      <c r="C25" s="85"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115</v>
      </c>
      <c r="D56" s="25" t="s">
        <v>103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https://www.comunidad.madrid/pjus_sede/</v>
      </c>
      <c r="D57" s="99" t="s">
        <v>106</v>
      </c>
      <c r="E57" s="79" t="str">
        <f t="shared" ref="E57:E91" si="2">IF(D57&lt;&gt;"",IF(AND(B57&lt;&gt;"",C57&lt;&gt;""),"","ERR"),"")</f>
        <v/>
      </c>
      <c r="F57" s="86" t="s">
        <v>104</v>
      </c>
      <c r="G57" s="87" t="s">
        <v>105</v>
      </c>
      <c r="H57" s="88" t="s">
        <v>106</v>
      </c>
      <c r="I57" s="89" t="s">
        <v>96</v>
      </c>
      <c r="J57" s="90" t="s">
        <v>94</v>
      </c>
      <c r="K57" s="181"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https://www.comunidad.madrid/pjus_sede/node/35</v>
      </c>
      <c r="D58" s="99" t="s">
        <v>106</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Conozca la sede</v>
      </c>
      <c r="C59" s="85" t="str" cm="1">
        <f t="array" ref="C59">IFERROR(INDEX('03.Muestra'!$F$8:$F$42,SMALL(IF("Página Web"='03.Muestra'!$D$8:$D$42,ROW('03.Muestra'!$F$8:$F$42)-MIN(ROW('03.Muestra'!$D$8:$D$42))+1,""),ROW()-56)),"")</f>
        <v>https://www.comunidad.madrid/pjus_sede/conozcalasede</v>
      </c>
      <c r="D59" s="99" t="s">
        <v>106</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Tramites y servicios</v>
      </c>
      <c r="C60" s="85" t="str" cm="1">
        <f t="array" ref="C60">IFERROR(INDEX('03.Muestra'!$F$8:$F$42,SMALL(IF("Página Web"='03.Muestra'!$D$8:$D$42,ROW('03.Muestra'!$F$8:$F$42)-MIN(ROW('03.Muestra'!$D$8:$D$42))+1,""),ROW()-56)),"")</f>
        <v>https://www.comunidad.madrid/pjus_sede/tramitesyservicios</v>
      </c>
      <c r="D60" s="99" t="s">
        <v>106</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Ayuda</v>
      </c>
      <c r="C61" s="85" t="str" cm="1">
        <f t="array" ref="C61">IFERROR(INDEX('03.Muestra'!$F$8:$F$42,SMALL(IF("Página Web"='03.Muestra'!$D$8:$D$42,ROW('03.Muestra'!$F$8:$F$42)-MIN(ROW('03.Muestra'!$D$8:$D$42))+1,""),ROW()-56)),"")</f>
        <v>https://www.comunidad.madrid/pjus_sede/ayuda</v>
      </c>
      <c r="D61" s="99" t="s">
        <v>106</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Resultados de búsqueda</v>
      </c>
      <c r="C62" s="85" t="str" cm="1">
        <f t="array" ref="C62">IFERROR(INDEX('03.Muestra'!$F$8:$F$42,SMALL(IF("Página Web"='03.Muestra'!$D$8:$D$42,ROW('03.Muestra'!$F$8:$F$42)-MIN(ROW('03.Muestra'!$D$8:$D$42))+1,""),ROW()-56)),"")</f>
        <v>https://www.comunidad.madrid/pjus_sede/search/node/sugerencias</v>
      </c>
      <c r="D62" s="99" t="s">
        <v>106</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t="str" cm="1">
        <f t="array" ref="A63">IFERROR(INDEX('03.Muestra'!$B$8:$B$42,SMALL(IF("Página Web"='03.Muestra'!$D$8:$D$42,ROW('03.Muestra'!$B$8:$B$42)-MIN(ROW('03.Muestra'!$D$8:$D$42))+1,""),ROW()-56)),"")</f>
        <v/>
      </c>
      <c r="B63" s="85" t="str" cm="1">
        <f t="array" ref="B63">IFERROR(INDEX('03.Muestra'!$C$8:$C$42,SMALL(IF("Página Web"='03.Muestra'!$D$8:$D$42,ROW('03.Muestra'!$C$8:$C$42)-MIN(ROW('03.Muestra'!$D$8:$D$42))+1,""),ROW()-56)),"")</f>
        <v/>
      </c>
      <c r="C63" s="8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si="3"/>
        <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101</v>
      </c>
      <c r="B94" s="23" t="s">
        <v>93</v>
      </c>
      <c r="C94" s="24" t="s">
        <v>116</v>
      </c>
      <c r="D94" s="25" t="s">
        <v>103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https://www.comunidad.madrid/pjus_sede/</v>
      </c>
      <c r="D95" s="99" t="s">
        <v>106</v>
      </c>
      <c r="E95" s="79" t="str">
        <f t="shared" ref="E95:E129" si="4">IF(D95&lt;&gt;"",IF(AND(B95&lt;&gt;"",C95&lt;&gt;""),"","ERR"),"")</f>
        <v/>
      </c>
      <c r="F95" s="86" t="s">
        <v>104</v>
      </c>
      <c r="G95" s="87" t="s">
        <v>105</v>
      </c>
      <c r="H95" s="88" t="s">
        <v>106</v>
      </c>
      <c r="I95" s="89" t="s">
        <v>96</v>
      </c>
      <c r="J95" s="90" t="s">
        <v>94</v>
      </c>
      <c r="K95" s="181" t="s">
        <v>100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https://www.comunidad.madrid/pjus_sede/node/35</v>
      </c>
      <c r="D96" s="99" t="s">
        <v>106</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Conozca la sede</v>
      </c>
      <c r="C97" s="85" t="str" cm="1">
        <f t="array" ref="C97">IFERROR(INDEX('03.Muestra'!$F$8:$F$42,SMALL(IF("Página Web"='03.Muestra'!$D$8:$D$42,ROW('03.Muestra'!$F$8:$F$42)-MIN(ROW('03.Muestra'!$D$8:$D$42))+1,""),ROW()-94)),"")</f>
        <v>https://www.comunidad.madrid/pjus_sede/conozcalasede</v>
      </c>
      <c r="D97" s="99" t="s">
        <v>106</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Tramites y servicios</v>
      </c>
      <c r="C98" s="85" t="str" cm="1">
        <f t="array" ref="C98">IFERROR(INDEX('03.Muestra'!$F$8:$F$42,SMALL(IF("Página Web"='03.Muestra'!$D$8:$D$42,ROW('03.Muestra'!$F$8:$F$42)-MIN(ROW('03.Muestra'!$D$8:$D$42))+1,""),ROW()-94)),"")</f>
        <v>https://www.comunidad.madrid/pjus_sede/tramitesyservicios</v>
      </c>
      <c r="D98" s="99" t="s">
        <v>106</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Ayuda</v>
      </c>
      <c r="C99" s="85" t="str" cm="1">
        <f t="array" ref="C99">IFERROR(INDEX('03.Muestra'!$F$8:$F$42,SMALL(IF("Página Web"='03.Muestra'!$D$8:$D$42,ROW('03.Muestra'!$F$8:$F$42)-MIN(ROW('03.Muestra'!$D$8:$D$42))+1,""),ROW()-94)),"")</f>
        <v>https://www.comunidad.madrid/pjus_sede/ayuda</v>
      </c>
      <c r="D99" s="99" t="s">
        <v>106</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Resultados de búsqueda</v>
      </c>
      <c r="C100" s="85" t="str" cm="1">
        <f t="array" ref="C100">IFERROR(INDEX('03.Muestra'!$F$8:$F$42,SMALL(IF("Página Web"='03.Muestra'!$D$8:$D$42,ROW('03.Muestra'!$F$8:$F$42)-MIN(ROW('03.Muestra'!$D$8:$D$42))+1,""),ROW()-94)),"")</f>
        <v>https://www.comunidad.madrid/pjus_sede/search/node/sugerencias</v>
      </c>
      <c r="D100" s="99" t="s">
        <v>106</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t="str" cm="1">
        <f t="array" ref="A101">IFERROR(INDEX('03.Muestra'!$B$8:$B$42,SMALL(IF("Página Web"='03.Muestra'!$D$8:$D$42,ROW('03.Muestra'!$B$8:$B$42)-MIN(ROW('03.Muestra'!$D$8:$D$42))+1,""),ROW()-94)),"")</f>
        <v/>
      </c>
      <c r="B101" s="85" t="str" cm="1">
        <f t="array" ref="B101">IFERROR(INDEX('03.Muestra'!$C$8:$C$42,SMALL(IF("Página Web"='03.Muestra'!$D$8:$D$42,ROW('03.Muestra'!$C$8:$C$42)-MIN(ROW('03.Muestra'!$D$8:$D$42))+1,""),ROW()-94)),"")</f>
        <v/>
      </c>
      <c r="C101" s="8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si="5"/>
        <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101</v>
      </c>
      <c r="B132" s="23" t="s">
        <v>93</v>
      </c>
      <c r="C132" s="24" t="s">
        <v>117</v>
      </c>
      <c r="D132" s="25" t="s">
        <v>103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https://www.comunidad.madrid/pjus_sede/</v>
      </c>
      <c r="D133" s="99" t="s">
        <v>106</v>
      </c>
      <c r="E133" s="79" t="str">
        <f t="shared" ref="E133:E167" si="6">IF(D133&lt;&gt;"",IF(AND(B133&lt;&gt;"",C133&lt;&gt;""),"","ERR"),"")</f>
        <v/>
      </c>
      <c r="F133" s="86" t="s">
        <v>104</v>
      </c>
      <c r="G133" s="87" t="s">
        <v>105</v>
      </c>
      <c r="H133" s="88" t="s">
        <v>106</v>
      </c>
      <c r="I133" s="89" t="s">
        <v>96</v>
      </c>
      <c r="J133" s="90" t="s">
        <v>94</v>
      </c>
      <c r="K133" s="181" t="s">
        <v>100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https://www.comunidad.madrid/pjus_sede/node/35</v>
      </c>
      <c r="D134" s="99" t="s">
        <v>106</v>
      </c>
      <c r="E134" s="79" t="str">
        <f t="shared" si="6"/>
        <v/>
      </c>
      <c r="F134" s="91">
        <f ca="1">COUNTIF($D133:INDIRECT("$D" &amp;  SUM(ROW()-1,'03.Muestra'!$D$45)-1),F133)</f>
        <v>0</v>
      </c>
      <c r="G134" s="91">
        <f ca="1">COUNTIF($D133:INDIRECT("$D" &amp;  SUM(ROW()-1,'03.Muestra'!$D$45)-1),G133)</f>
        <v>0</v>
      </c>
      <c r="H134" s="91">
        <f ca="1">COUNTIF($D133:INDIRECT("$D" &amp;  SUM(ROW()-1,'03.Muestra'!$D$45)-1),H133)</f>
        <v>6</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Conozca la sede</v>
      </c>
      <c r="C135" s="85" t="str" cm="1">
        <f t="array" ref="C135">IFERROR(INDEX('03.Muestra'!$F$8:$F$42,SMALL(IF("Página Web"='03.Muestra'!$D$8:$D$42,ROW('03.Muestra'!$F$8:$F$42)-MIN(ROW('03.Muestra'!$D$8:$D$42))+1,""),ROW()-132)),"")</f>
        <v>https://www.comunidad.madrid/pjus_sede/conozcalasede</v>
      </c>
      <c r="D135" s="99" t="s">
        <v>106</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Tramites y servicios</v>
      </c>
      <c r="C136" s="85" t="str" cm="1">
        <f t="array" ref="C136">IFERROR(INDEX('03.Muestra'!$F$8:$F$42,SMALL(IF("Página Web"='03.Muestra'!$D$8:$D$42,ROW('03.Muestra'!$F$8:$F$42)-MIN(ROW('03.Muestra'!$D$8:$D$42))+1,""),ROW()-132)),"")</f>
        <v>https://www.comunidad.madrid/pjus_sede/tramitesyservicios</v>
      </c>
      <c r="D136" s="99" t="s">
        <v>106</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Ayuda</v>
      </c>
      <c r="C137" s="85" t="str" cm="1">
        <f t="array" ref="C137">IFERROR(INDEX('03.Muestra'!$F$8:$F$42,SMALL(IF("Página Web"='03.Muestra'!$D$8:$D$42,ROW('03.Muestra'!$F$8:$F$42)-MIN(ROW('03.Muestra'!$D$8:$D$42))+1,""),ROW()-132)),"")</f>
        <v>https://www.comunidad.madrid/pjus_sede/ayuda</v>
      </c>
      <c r="D137" s="99" t="s">
        <v>106</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Resultados de búsqueda</v>
      </c>
      <c r="C138" s="85" t="str" cm="1">
        <f t="array" ref="C138">IFERROR(INDEX('03.Muestra'!$F$8:$F$42,SMALL(IF("Página Web"='03.Muestra'!$D$8:$D$42,ROW('03.Muestra'!$F$8:$F$42)-MIN(ROW('03.Muestra'!$D$8:$D$42))+1,""),ROW()-132)),"")</f>
        <v>https://www.comunidad.madrid/pjus_sede/search/node/sugerencias</v>
      </c>
      <c r="D138" s="99" t="s">
        <v>106</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t="str" cm="1">
        <f t="array" ref="A139">IFERROR(INDEX('03.Muestra'!$B$8:$B$42,SMALL(IF("Página Web"='03.Muestra'!$D$8:$D$42,ROW('03.Muestra'!$B$8:$B$42)-MIN(ROW('03.Muestra'!$D$8:$D$42))+1,""),ROW()-132)),"")</f>
        <v/>
      </c>
      <c r="B139" s="85" t="str" cm="1">
        <f t="array" ref="B139">IFERROR(INDEX('03.Muestra'!$C$8:$C$42,SMALL(IF("Página Web"='03.Muestra'!$D$8:$D$42,ROW('03.Muestra'!$C$8:$C$42)-MIN(ROW('03.Muestra'!$D$8:$D$42))+1,""),ROW()-132)),"")</f>
        <v/>
      </c>
      <c r="C139" s="85" t="str" cm="1">
        <f t="array" ref="C139">IFERROR(INDEX('03.Muestra'!$F$8:$F$42,SMALL(IF("Página Web"='03.Muestra'!$D$8:$D$42,ROW('03.Muestra'!$F$8:$F$42)-MIN(ROW('03.Muestra'!$D$8:$D$42))+1,""),ROW()-132)),"")</f>
        <v/>
      </c>
      <c r="D139" s="99" t="str">
        <f t="shared" ref="D139:D167" si="7">IF(AND(B139&lt;&gt;"",C139&lt;&gt;""),"N/T","")</f>
        <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si="7"/>
        <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101</v>
      </c>
      <c r="B170" s="23" t="s">
        <v>93</v>
      </c>
      <c r="C170" s="24" t="s">
        <v>118</v>
      </c>
      <c r="D170" s="25" t="s">
        <v>103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https://www.comunidad.madrid/pjus_sede/</v>
      </c>
      <c r="D171" s="99" t="s">
        <v>106</v>
      </c>
      <c r="E171" s="79" t="str">
        <f t="shared" ref="E171:E205" si="8">IF(D171&lt;&gt;"",IF(AND(B171&lt;&gt;"",C171&lt;&gt;""),"","ERR"),"")</f>
        <v/>
      </c>
      <c r="F171" s="86" t="s">
        <v>104</v>
      </c>
      <c r="G171" s="87" t="s">
        <v>105</v>
      </c>
      <c r="H171" s="88" t="s">
        <v>106</v>
      </c>
      <c r="I171" s="89" t="s">
        <v>96</v>
      </c>
      <c r="J171" s="90" t="s">
        <v>94</v>
      </c>
      <c r="K171" s="181" t="s">
        <v>100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https://www.comunidad.madrid/pjus_sede/node/35</v>
      </c>
      <c r="D172" s="99" t="s">
        <v>106</v>
      </c>
      <c r="E172" s="79" t="str">
        <f t="shared" si="8"/>
        <v/>
      </c>
      <c r="F172" s="91">
        <f ca="1">COUNTIF($D171:INDIRECT("$D" &amp;  SUM(ROW()-1,'03.Muestra'!$D$45)-1),F171)</f>
        <v>0</v>
      </c>
      <c r="G172" s="91">
        <f ca="1">COUNTIF($D171:INDIRECT("$D" &amp;  SUM(ROW()-1,'03.Muestra'!$D$45)-1),G171)</f>
        <v>0</v>
      </c>
      <c r="H172" s="91">
        <f ca="1">COUNTIF($D171:INDIRECT("$D" &amp;  SUM(ROW()-1,'03.Muestra'!$D$45)-1),H171)</f>
        <v>6</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Conozca la sede</v>
      </c>
      <c r="C173" s="85" t="str" cm="1">
        <f t="array" ref="C173">IFERROR(INDEX('03.Muestra'!$F$8:$F$42,SMALL(IF("Página Web"='03.Muestra'!$D$8:$D$42,ROW('03.Muestra'!$F$8:$F$42)-MIN(ROW('03.Muestra'!$D$8:$D$42))+1,""),ROW()-170)),"")</f>
        <v>https://www.comunidad.madrid/pjus_sede/conozcalasede</v>
      </c>
      <c r="D173" s="99" t="s">
        <v>106</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Tramites y servicios</v>
      </c>
      <c r="C174" s="85" t="str" cm="1">
        <f t="array" ref="C174">IFERROR(INDEX('03.Muestra'!$F$8:$F$42,SMALL(IF("Página Web"='03.Muestra'!$D$8:$D$42,ROW('03.Muestra'!$F$8:$F$42)-MIN(ROW('03.Muestra'!$D$8:$D$42))+1,""),ROW()-170)),"")</f>
        <v>https://www.comunidad.madrid/pjus_sede/tramitesyservicios</v>
      </c>
      <c r="D174" s="99" t="s">
        <v>106</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Ayuda</v>
      </c>
      <c r="C175" s="85" t="str" cm="1">
        <f t="array" ref="C175">IFERROR(INDEX('03.Muestra'!$F$8:$F$42,SMALL(IF("Página Web"='03.Muestra'!$D$8:$D$42,ROW('03.Muestra'!$F$8:$F$42)-MIN(ROW('03.Muestra'!$D$8:$D$42))+1,""),ROW()-170)),"")</f>
        <v>https://www.comunidad.madrid/pjus_sede/ayuda</v>
      </c>
      <c r="D175" s="99" t="s">
        <v>106</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Resultados de búsqueda</v>
      </c>
      <c r="C176" s="85" t="str" cm="1">
        <f t="array" ref="C176">IFERROR(INDEX('03.Muestra'!$F$8:$F$42,SMALL(IF("Página Web"='03.Muestra'!$D$8:$D$42,ROW('03.Muestra'!$F$8:$F$42)-MIN(ROW('03.Muestra'!$D$8:$D$42))+1,""),ROW()-170)),"")</f>
        <v>https://www.comunidad.madrid/pjus_sede/search/node/sugerencias</v>
      </c>
      <c r="D176" s="99" t="s">
        <v>106</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t="str" cm="1">
        <f t="array" ref="A177">IFERROR(INDEX('03.Muestra'!$B$8:$B$42,SMALL(IF("Página Web"='03.Muestra'!$D$8:$D$42,ROW('03.Muestra'!$B$8:$B$42)-MIN(ROW('03.Muestra'!$D$8:$D$42))+1,""),ROW()-170)),"")</f>
        <v/>
      </c>
      <c r="B177" s="85" t="str" cm="1">
        <f t="array" ref="B177">IFERROR(INDEX('03.Muestra'!$C$8:$C$42,SMALL(IF("Página Web"='03.Muestra'!$D$8:$D$42,ROW('03.Muestra'!$C$8:$C$42)-MIN(ROW('03.Muestra'!$D$8:$D$42))+1,""),ROW()-170)),"")</f>
        <v/>
      </c>
      <c r="C177" s="85" t="str" cm="1">
        <f t="array" ref="C177">IFERROR(INDEX('03.Muestra'!$F$8:$F$42,SMALL(IF("Página Web"='03.Muestra'!$D$8:$D$42,ROW('03.Muestra'!$F$8:$F$42)-MIN(ROW('03.Muestra'!$D$8:$D$42))+1,""),ROW()-170)),"")</f>
        <v/>
      </c>
      <c r="D177" s="99" t="str">
        <f t="shared" ref="D177:D205" si="9">IF(AND(B177&lt;&gt;"",C177&lt;&gt;""),"N/T","")</f>
        <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si="9"/>
        <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101</v>
      </c>
      <c r="B208" s="23" t="s">
        <v>93</v>
      </c>
      <c r="C208" s="172" t="s">
        <v>119</v>
      </c>
      <c r="D208" s="25" t="s">
        <v>103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https://www.comunidad.madrid/pjus_sede/</v>
      </c>
      <c r="D209" s="99" t="s">
        <v>106</v>
      </c>
      <c r="E209" s="79" t="str">
        <f t="shared" ref="E209:E243" si="10">IF(D209&lt;&gt;"",IF(AND(B209&lt;&gt;"",C209&lt;&gt;""),"","ERR"),"")</f>
        <v/>
      </c>
      <c r="F209" s="86" t="s">
        <v>104</v>
      </c>
      <c r="G209" s="87" t="s">
        <v>105</v>
      </c>
      <c r="H209" s="88" t="s">
        <v>106</v>
      </c>
      <c r="I209" s="89" t="s">
        <v>96</v>
      </c>
      <c r="J209" s="90" t="s">
        <v>94</v>
      </c>
      <c r="K209" s="181" t="s">
        <v>100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https://www.comunidad.madrid/pjus_sede/node/35</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6</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Conozca la sede</v>
      </c>
      <c r="C211" s="85" t="str" cm="1">
        <f t="array" ref="C211">IFERROR(INDEX('03.Muestra'!$F$8:$F$42,SMALL(IF("Página Web"='03.Muestra'!$D$8:$D$42,ROW('03.Muestra'!$F$8:$F$42)-MIN(ROW('03.Muestra'!$D$8:$D$42))+1,""),ROW()-208)),"")</f>
        <v>https://www.comunidad.madrid/pjus_sede/conozcalasede</v>
      </c>
      <c r="D211" s="99" t="s">
        <v>106</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Tramites y servicios</v>
      </c>
      <c r="C212" s="85" t="str" cm="1">
        <f t="array" ref="C212">IFERROR(INDEX('03.Muestra'!$F$8:$F$42,SMALL(IF("Página Web"='03.Muestra'!$D$8:$D$42,ROW('03.Muestra'!$F$8:$F$42)-MIN(ROW('03.Muestra'!$D$8:$D$42))+1,""),ROW()-208)),"")</f>
        <v>https://www.comunidad.madrid/pjus_sede/tramitesyservicios</v>
      </c>
      <c r="D212" s="99" t="s">
        <v>106</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Ayuda</v>
      </c>
      <c r="C213" s="85" t="str" cm="1">
        <f t="array" ref="C213">IFERROR(INDEX('03.Muestra'!$F$8:$F$42,SMALL(IF("Página Web"='03.Muestra'!$D$8:$D$42,ROW('03.Muestra'!$F$8:$F$42)-MIN(ROW('03.Muestra'!$D$8:$D$42))+1,""),ROW()-208)),"")</f>
        <v>https://www.comunidad.madrid/pjus_sede/ayuda</v>
      </c>
      <c r="D213" s="99" t="s">
        <v>106</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Resultados de búsqueda</v>
      </c>
      <c r="C214" s="85" t="str" cm="1">
        <f t="array" ref="C214">IFERROR(INDEX('03.Muestra'!$F$8:$F$42,SMALL(IF("Página Web"='03.Muestra'!$D$8:$D$42,ROW('03.Muestra'!$F$8:$F$42)-MIN(ROW('03.Muestra'!$D$8:$D$42))+1,""),ROW()-208)),"")</f>
        <v>https://www.comunidad.madrid/pjus_sede/search/node/sugerencias</v>
      </c>
      <c r="D214" s="99" t="s">
        <v>106</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t="str" cm="1">
        <f t="array" ref="A215">IFERROR(INDEX('03.Muestra'!$B$8:$B$42,SMALL(IF("Página Web"='03.Muestra'!$D$8:$D$42,ROW('03.Muestra'!$B$8:$B$42)-MIN(ROW('03.Muestra'!$D$8:$D$42))+1,""),ROW()-208)),"")</f>
        <v/>
      </c>
      <c r="B215" s="85" t="str" cm="1">
        <f t="array" ref="B215">IFERROR(INDEX('03.Muestra'!$C$8:$C$42,SMALL(IF("Página Web"='03.Muestra'!$D$8:$D$42,ROW('03.Muestra'!$C$8:$C$42)-MIN(ROW('03.Muestra'!$D$8:$D$42))+1,""),ROW()-208)),"")</f>
        <v/>
      </c>
      <c r="C215" s="85" t="str" cm="1">
        <f t="array" ref="C215">IFERROR(INDEX('03.Muestra'!$F$8:$F$42,SMALL(IF("Página Web"='03.Muestra'!$D$8:$D$42,ROW('03.Muestra'!$F$8:$F$42)-MIN(ROW('03.Muestra'!$D$8:$D$42))+1,""),ROW()-208)),"")</f>
        <v/>
      </c>
      <c r="D215" s="99" t="str">
        <f t="shared" ref="D215:D243" si="11">IF(AND(B215&lt;&gt;"",C215&lt;&gt;""),"N/T","")</f>
        <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si="11"/>
        <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101</v>
      </c>
      <c r="B246" s="23" t="s">
        <v>93</v>
      </c>
      <c r="C246" s="172" t="s">
        <v>120</v>
      </c>
      <c r="D246" s="25" t="s">
        <v>103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https://www.comunidad.madrid/pjus_sede/</v>
      </c>
      <c r="D247" s="99" t="s">
        <v>106</v>
      </c>
      <c r="E247" s="79" t="str">
        <f t="shared" ref="E247:E281" si="12">IF(D247&lt;&gt;"",IF(AND(B247&lt;&gt;"",C247&lt;&gt;""),"","ERR"),"")</f>
        <v/>
      </c>
      <c r="F247" s="86" t="s">
        <v>104</v>
      </c>
      <c r="G247" s="87" t="s">
        <v>105</v>
      </c>
      <c r="H247" s="88" t="s">
        <v>106</v>
      </c>
      <c r="I247" s="89" t="s">
        <v>96</v>
      </c>
      <c r="J247" s="90" t="s">
        <v>94</v>
      </c>
      <c r="K247" s="181" t="s">
        <v>100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https://www.comunidad.madrid/pjus_sede/node/35</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6</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Conozca la sede</v>
      </c>
      <c r="C249" s="85" t="str" cm="1">
        <f t="array" ref="C249">IFERROR(INDEX('03.Muestra'!$F$8:$F$42,SMALL(IF("Página Web"='03.Muestra'!$D$8:$D$42,ROW('03.Muestra'!$F$8:$F$42)-MIN(ROW('03.Muestra'!$D$8:$D$42))+1,""),ROW()-246)),"")</f>
        <v>https://www.comunidad.madrid/pjus_sede/conozcalasede</v>
      </c>
      <c r="D249" s="99" t="s">
        <v>106</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Tramites y servicios</v>
      </c>
      <c r="C250" s="85" t="str" cm="1">
        <f t="array" ref="C250">IFERROR(INDEX('03.Muestra'!$F$8:$F$42,SMALL(IF("Página Web"='03.Muestra'!$D$8:$D$42,ROW('03.Muestra'!$F$8:$F$42)-MIN(ROW('03.Muestra'!$D$8:$D$42))+1,""),ROW()-246)),"")</f>
        <v>https://www.comunidad.madrid/pjus_sede/tramitesyservicios</v>
      </c>
      <c r="D250" s="99" t="s">
        <v>106</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Ayuda</v>
      </c>
      <c r="C251" s="85" t="str" cm="1">
        <f t="array" ref="C251">IFERROR(INDEX('03.Muestra'!$F$8:$F$42,SMALL(IF("Página Web"='03.Muestra'!$D$8:$D$42,ROW('03.Muestra'!$F$8:$F$42)-MIN(ROW('03.Muestra'!$D$8:$D$42))+1,""),ROW()-246)),"")</f>
        <v>https://www.comunidad.madrid/pjus_sede/ayuda</v>
      </c>
      <c r="D251" s="99" t="s">
        <v>106</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Resultados de búsqueda</v>
      </c>
      <c r="C252" s="85" t="str" cm="1">
        <f t="array" ref="C252">IFERROR(INDEX('03.Muestra'!$F$8:$F$42,SMALL(IF("Página Web"='03.Muestra'!$D$8:$D$42,ROW('03.Muestra'!$F$8:$F$42)-MIN(ROW('03.Muestra'!$D$8:$D$42))+1,""),ROW()-246)),"")</f>
        <v>https://www.comunidad.madrid/pjus_sede/search/node/sugerencias</v>
      </c>
      <c r="D252" s="99" t="s">
        <v>106</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t="str" cm="1">
        <f t="array" ref="A253">IFERROR(INDEX('03.Muestra'!$B$8:$B$42,SMALL(IF("Página Web"='03.Muestra'!$D$8:$D$42,ROW('03.Muestra'!$B$8:$B$42)-MIN(ROW('03.Muestra'!$D$8:$D$42))+1,""),ROW()-246)),"")</f>
        <v/>
      </c>
      <c r="B253" s="85" t="str" cm="1">
        <f t="array" ref="B253">IFERROR(INDEX('03.Muestra'!$C$8:$C$42,SMALL(IF("Página Web"='03.Muestra'!$D$8:$D$42,ROW('03.Muestra'!$C$8:$C$42)-MIN(ROW('03.Muestra'!$D$8:$D$42))+1,""),ROW()-246)),"")</f>
        <v/>
      </c>
      <c r="C253" s="85" t="str" cm="1">
        <f t="array" ref="C253">IFERROR(INDEX('03.Muestra'!$F$8:$F$42,SMALL(IF("Página Web"='03.Muestra'!$D$8:$D$42,ROW('03.Muestra'!$F$8:$F$42)-MIN(ROW('03.Muestra'!$D$8:$D$42))+1,""),ROW()-246)),"")</f>
        <v/>
      </c>
      <c r="D253" s="99" t="str">
        <f t="shared" ref="D253:D281" si="13">IF(AND(B253&lt;&gt;"",C253&lt;&gt;""),"N/T","")</f>
        <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si="13"/>
        <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101</v>
      </c>
      <c r="B284" s="23" t="s">
        <v>93</v>
      </c>
      <c r="C284" s="24" t="s">
        <v>121</v>
      </c>
      <c r="D284" s="25" t="s">
        <v>103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https://www.comunidad.madrid/pjus_sede/</v>
      </c>
      <c r="D285" s="99" t="s">
        <v>106</v>
      </c>
      <c r="E285" s="79" t="str">
        <f t="shared" ref="E285:E319" si="14">IF(D285&lt;&gt;"",IF(AND(B285&lt;&gt;"",C285&lt;&gt;""),"","ERR"),"")</f>
        <v/>
      </c>
      <c r="F285" s="86" t="s">
        <v>104</v>
      </c>
      <c r="G285" s="87" t="s">
        <v>105</v>
      </c>
      <c r="H285" s="88" t="s">
        <v>106</v>
      </c>
      <c r="I285" s="89" t="s">
        <v>96</v>
      </c>
      <c r="J285" s="90" t="s">
        <v>94</v>
      </c>
      <c r="K285" s="181" t="s">
        <v>100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https://www.comunidad.madrid/pjus_sede/node/35</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6</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Conozca la sede</v>
      </c>
      <c r="C287" s="85" t="str" cm="1">
        <f t="array" ref="C287">IFERROR(INDEX('03.Muestra'!$F$8:$F$42,SMALL(IF("Página Web"='03.Muestra'!$D$8:$D$42,ROW('03.Muestra'!$F$8:$F$42)-MIN(ROW('03.Muestra'!$D$8:$D$42))+1,""),ROW()-284)),"")</f>
        <v>https://www.comunidad.madrid/pjus_sede/conozcalasede</v>
      </c>
      <c r="D287" s="99" t="s">
        <v>106</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Tramites y servicios</v>
      </c>
      <c r="C288" s="85" t="str" cm="1">
        <f t="array" ref="C288">IFERROR(INDEX('03.Muestra'!$F$8:$F$42,SMALL(IF("Página Web"='03.Muestra'!$D$8:$D$42,ROW('03.Muestra'!$F$8:$F$42)-MIN(ROW('03.Muestra'!$D$8:$D$42))+1,""),ROW()-284)),"")</f>
        <v>https://www.comunidad.madrid/pjus_sede/tramitesyservicios</v>
      </c>
      <c r="D288" s="99" t="s">
        <v>106</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Ayuda</v>
      </c>
      <c r="C289" s="85" t="str" cm="1">
        <f t="array" ref="C289">IFERROR(INDEX('03.Muestra'!$F$8:$F$42,SMALL(IF("Página Web"='03.Muestra'!$D$8:$D$42,ROW('03.Muestra'!$F$8:$F$42)-MIN(ROW('03.Muestra'!$D$8:$D$42))+1,""),ROW()-284)),"")</f>
        <v>https://www.comunidad.madrid/pjus_sede/ayuda</v>
      </c>
      <c r="D289" s="99" t="s">
        <v>106</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Resultados de búsqueda</v>
      </c>
      <c r="C290" s="85" t="str" cm="1">
        <f t="array" ref="C290">IFERROR(INDEX('03.Muestra'!$F$8:$F$42,SMALL(IF("Página Web"='03.Muestra'!$D$8:$D$42,ROW('03.Muestra'!$F$8:$F$42)-MIN(ROW('03.Muestra'!$D$8:$D$42))+1,""),ROW()-284)),"")</f>
        <v>https://www.comunidad.madrid/pjus_sede/search/node/sugerencias</v>
      </c>
      <c r="D290" s="99" t="s">
        <v>106</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t="str" cm="1">
        <f t="array" ref="A291">IFERROR(INDEX('03.Muestra'!$B$8:$B$42,SMALL(IF("Página Web"='03.Muestra'!$D$8:$D$42,ROW('03.Muestra'!$B$8:$B$42)-MIN(ROW('03.Muestra'!$D$8:$D$42))+1,""),ROW()-284)),"")</f>
        <v/>
      </c>
      <c r="B291" s="85" t="str" cm="1">
        <f t="array" ref="B291">IFERROR(INDEX('03.Muestra'!$C$8:$C$42,SMALL(IF("Página Web"='03.Muestra'!$D$8:$D$42,ROW('03.Muestra'!$C$8:$C$42)-MIN(ROW('03.Muestra'!$D$8:$D$42))+1,""),ROW()-284)),"")</f>
        <v/>
      </c>
      <c r="C291" s="85" t="str" cm="1">
        <f t="array" ref="C291">IFERROR(INDEX('03.Muestra'!$F$8:$F$42,SMALL(IF("Página Web"='03.Muestra'!$D$8:$D$42,ROW('03.Muestra'!$F$8:$F$42)-MIN(ROW('03.Muestra'!$D$8:$D$42))+1,""),ROW()-284)),"")</f>
        <v/>
      </c>
      <c r="D291" s="99" t="str">
        <f t="shared" ref="D291:D319" si="15">IF(AND(B291&lt;&gt;"",C291&lt;&gt;""),"N/T","")</f>
        <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si="15"/>
        <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101</v>
      </c>
      <c r="B322" s="23" t="s">
        <v>93</v>
      </c>
      <c r="C322" s="24" t="s">
        <v>122</v>
      </c>
      <c r="D322" s="25" t="s">
        <v>103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https://www.comunidad.madrid/pjus_sede/</v>
      </c>
      <c r="D323" s="99" t="s">
        <v>106</v>
      </c>
      <c r="E323" s="79" t="str">
        <f t="shared" ref="E323:E357" si="16">IF(D323&lt;&gt;"",IF(AND(B323&lt;&gt;"",C323&lt;&gt;""),"","ERR"),"")</f>
        <v/>
      </c>
      <c r="F323" s="86" t="s">
        <v>104</v>
      </c>
      <c r="G323" s="87" t="s">
        <v>105</v>
      </c>
      <c r="H323" s="88" t="s">
        <v>106</v>
      </c>
      <c r="I323" s="89" t="s">
        <v>96</v>
      </c>
      <c r="J323" s="90" t="s">
        <v>94</v>
      </c>
      <c r="K323" s="181" t="s">
        <v>100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https://www.comunidad.madrid/pjus_sede/node/35</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6</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Conozca la sede</v>
      </c>
      <c r="C325" s="85" t="str" cm="1">
        <f t="array" ref="C325">IFERROR(INDEX('03.Muestra'!$F$8:$F$42,SMALL(IF("Página Web"='03.Muestra'!$D$8:$D$42,ROW('03.Muestra'!$F$8:$F$42)-MIN(ROW('03.Muestra'!$D$8:$D$42))+1,""),ROW()-322)),"")</f>
        <v>https://www.comunidad.madrid/pjus_sede/conozcalasede</v>
      </c>
      <c r="D325" s="99" t="s">
        <v>106</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Tramites y servicios</v>
      </c>
      <c r="C326" s="85" t="str" cm="1">
        <f t="array" ref="C326">IFERROR(INDEX('03.Muestra'!$F$8:$F$42,SMALL(IF("Página Web"='03.Muestra'!$D$8:$D$42,ROW('03.Muestra'!$F$8:$F$42)-MIN(ROW('03.Muestra'!$D$8:$D$42))+1,""),ROW()-322)),"")</f>
        <v>https://www.comunidad.madrid/pjus_sede/tramitesyservicios</v>
      </c>
      <c r="D326" s="99" t="s">
        <v>106</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Ayuda</v>
      </c>
      <c r="C327" s="85" t="str" cm="1">
        <f t="array" ref="C327">IFERROR(INDEX('03.Muestra'!$F$8:$F$42,SMALL(IF("Página Web"='03.Muestra'!$D$8:$D$42,ROW('03.Muestra'!$F$8:$F$42)-MIN(ROW('03.Muestra'!$D$8:$D$42))+1,""),ROW()-322)),"")</f>
        <v>https://www.comunidad.madrid/pjus_sede/ayuda</v>
      </c>
      <c r="D327" s="99" t="s">
        <v>106</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Resultados de búsqueda</v>
      </c>
      <c r="C328" s="85" t="str" cm="1">
        <f t="array" ref="C328">IFERROR(INDEX('03.Muestra'!$F$8:$F$42,SMALL(IF("Página Web"='03.Muestra'!$D$8:$D$42,ROW('03.Muestra'!$F$8:$F$42)-MIN(ROW('03.Muestra'!$D$8:$D$42))+1,""),ROW()-322)),"")</f>
        <v>https://www.comunidad.madrid/pjus_sede/search/node/sugerencias</v>
      </c>
      <c r="D328" s="99" t="s">
        <v>106</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t="str" cm="1">
        <f t="array" ref="A329">IFERROR(INDEX('03.Muestra'!$B$8:$B$42,SMALL(IF("Página Web"='03.Muestra'!$D$8:$D$42,ROW('03.Muestra'!$B$8:$B$42)-MIN(ROW('03.Muestra'!$D$8:$D$42))+1,""),ROW()-322)),"")</f>
        <v/>
      </c>
      <c r="B329" s="85" t="str" cm="1">
        <f t="array" ref="B329">IFERROR(INDEX('03.Muestra'!$C$8:$C$42,SMALL(IF("Página Web"='03.Muestra'!$D$8:$D$42,ROW('03.Muestra'!$C$8:$C$42)-MIN(ROW('03.Muestra'!$D$8:$D$42))+1,""),ROW()-322)),"")</f>
        <v/>
      </c>
      <c r="C329" s="85" t="str" cm="1">
        <f t="array" ref="C329">IFERROR(INDEX('03.Muestra'!$F$8:$F$42,SMALL(IF("Página Web"='03.Muestra'!$D$8:$D$42,ROW('03.Muestra'!$F$8:$F$42)-MIN(ROW('03.Muestra'!$D$8:$D$42))+1,""),ROW()-322)),"")</f>
        <v/>
      </c>
      <c r="D329" s="99" t="str">
        <f t="shared" ref="D329:D357" si="17">IF(AND(B329&lt;&gt;"",C329&lt;&gt;""),"N/T","")</f>
        <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si="17"/>
        <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101</v>
      </c>
      <c r="B360" s="23" t="s">
        <v>93</v>
      </c>
      <c r="C360" s="24" t="s">
        <v>123</v>
      </c>
      <c r="D360" s="25" t="s">
        <v>103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https://www.comunidad.madrid/pjus_sede/</v>
      </c>
      <c r="D361" s="99" t="s">
        <v>106</v>
      </c>
      <c r="E361" s="79" t="str">
        <f t="shared" ref="E361:E395" si="18">IF(D361&lt;&gt;"",IF(AND(B361&lt;&gt;"",C361&lt;&gt;""),"","ERR"),"")</f>
        <v/>
      </c>
      <c r="F361" s="86" t="s">
        <v>104</v>
      </c>
      <c r="G361" s="87" t="s">
        <v>105</v>
      </c>
      <c r="H361" s="88" t="s">
        <v>106</v>
      </c>
      <c r="I361" s="89" t="s">
        <v>96</v>
      </c>
      <c r="J361" s="90" t="s">
        <v>94</v>
      </c>
      <c r="K361" s="181" t="s">
        <v>100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Accesibilidad</v>
      </c>
      <c r="C362" s="85" t="str" cm="1">
        <f t="array" ref="C362">IFERROR(INDEX('03.Muestra'!$F$8:$F$42,SMALL(IF("Página Web"='03.Muestra'!$D$8:$D$42,ROW('03.Muestra'!$F$8:$F$42)-MIN(ROW('03.Muestra'!$D$8:$D$42))+1,""),ROW()-360)),"")</f>
        <v>https://www.comunidad.madrid/pjus_sede/node/35</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6</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Conozca la sede</v>
      </c>
      <c r="C363" s="85" t="str" cm="1">
        <f t="array" ref="C363">IFERROR(INDEX('03.Muestra'!$F$8:$F$42,SMALL(IF("Página Web"='03.Muestra'!$D$8:$D$42,ROW('03.Muestra'!$F$8:$F$42)-MIN(ROW('03.Muestra'!$D$8:$D$42))+1,""),ROW()-360)),"")</f>
        <v>https://www.comunidad.madrid/pjus_sede/conozcalasede</v>
      </c>
      <c r="D363" s="99" t="s">
        <v>106</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Tramites y servicios</v>
      </c>
      <c r="C364" s="85" t="str" cm="1">
        <f t="array" ref="C364">IFERROR(INDEX('03.Muestra'!$F$8:$F$42,SMALL(IF("Página Web"='03.Muestra'!$D$8:$D$42,ROW('03.Muestra'!$F$8:$F$42)-MIN(ROW('03.Muestra'!$D$8:$D$42))+1,""),ROW()-360)),"")</f>
        <v>https://www.comunidad.madrid/pjus_sede/tramitesyservicios</v>
      </c>
      <c r="D364" s="99" t="s">
        <v>106</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Ayuda</v>
      </c>
      <c r="C365" s="85" t="str" cm="1">
        <f t="array" ref="C365">IFERROR(INDEX('03.Muestra'!$F$8:$F$42,SMALL(IF("Página Web"='03.Muestra'!$D$8:$D$42,ROW('03.Muestra'!$F$8:$F$42)-MIN(ROW('03.Muestra'!$D$8:$D$42))+1,""),ROW()-360)),"")</f>
        <v>https://www.comunidad.madrid/pjus_sede/ayuda</v>
      </c>
      <c r="D365" s="99" t="s">
        <v>106</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Resultados de búsqueda</v>
      </c>
      <c r="C366" s="85" t="str" cm="1">
        <f t="array" ref="C366">IFERROR(INDEX('03.Muestra'!$F$8:$F$42,SMALL(IF("Página Web"='03.Muestra'!$D$8:$D$42,ROW('03.Muestra'!$F$8:$F$42)-MIN(ROW('03.Muestra'!$D$8:$D$42))+1,""),ROW()-360)),"")</f>
        <v>https://www.comunidad.madrid/pjus_sede/search/node/sugerencias</v>
      </c>
      <c r="D366" s="99" t="s">
        <v>106</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t="str" cm="1">
        <f t="array" ref="A367">IFERROR(INDEX('03.Muestra'!$B$8:$B$42,SMALL(IF("Página Web"='03.Muestra'!$D$8:$D$42,ROW('03.Muestra'!$B$8:$B$42)-MIN(ROW('03.Muestra'!$D$8:$D$42))+1,""),ROW()-360)),"")</f>
        <v/>
      </c>
      <c r="B367" s="85" t="str" cm="1">
        <f t="array" ref="B367">IFERROR(INDEX('03.Muestra'!$C$8:$C$42,SMALL(IF("Página Web"='03.Muestra'!$D$8:$D$42,ROW('03.Muestra'!$C$8:$C$42)-MIN(ROW('03.Muestra'!$D$8:$D$42))+1,""),ROW()-360)),"")</f>
        <v/>
      </c>
      <c r="C367" s="85" t="str" cm="1">
        <f t="array" ref="C367">IFERROR(INDEX('03.Muestra'!$F$8:$F$42,SMALL(IF("Página Web"='03.Muestra'!$D$8:$D$42,ROW('03.Muestra'!$F$8:$F$42)-MIN(ROW('03.Muestra'!$D$8:$D$42))+1,""),ROW()-360)),"")</f>
        <v/>
      </c>
      <c r="D367" s="99" t="str">
        <f t="shared" ref="D367:D395" si="19">IF(AND(B367&lt;&gt;"",C367&lt;&gt;""),"N/T","")</f>
        <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si="19"/>
        <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101</v>
      </c>
      <c r="B398" s="23" t="s">
        <v>93</v>
      </c>
      <c r="C398" s="24" t="s">
        <v>124</v>
      </c>
      <c r="D398" s="25" t="s">
        <v>103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https://www.comunidad.madrid/pjus_sede/</v>
      </c>
      <c r="D399" s="99" t="s">
        <v>106</v>
      </c>
      <c r="E399" s="79" t="str">
        <f t="shared" ref="E399:E433" si="20">IF(D399&lt;&gt;"",IF(AND(B399&lt;&gt;"",C399&lt;&gt;""),"","ERR"),"")</f>
        <v/>
      </c>
      <c r="F399" s="86" t="s">
        <v>104</v>
      </c>
      <c r="G399" s="87" t="s">
        <v>105</v>
      </c>
      <c r="H399" s="88" t="s">
        <v>106</v>
      </c>
      <c r="I399" s="89" t="s">
        <v>96</v>
      </c>
      <c r="J399" s="90" t="s">
        <v>94</v>
      </c>
      <c r="K399" s="181" t="s">
        <v>100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Accesibilidad</v>
      </c>
      <c r="C400" s="85" t="str" cm="1">
        <f t="array" ref="C400">IFERROR(INDEX('03.Muestra'!$F$8:$F$42,SMALL(IF("Página Web"='03.Muestra'!$D$8:$D$42,ROW('03.Muestra'!$F$8:$F$42)-MIN(ROW('03.Muestra'!$D$8:$D$42))+1,""),ROW()-398)),"")</f>
        <v>https://www.comunidad.madrid/pjus_sede/node/35</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6</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Conozca la sede</v>
      </c>
      <c r="C401" s="85" t="str" cm="1">
        <f t="array" ref="C401">IFERROR(INDEX('03.Muestra'!$F$8:$F$42,SMALL(IF("Página Web"='03.Muestra'!$D$8:$D$42,ROW('03.Muestra'!$F$8:$F$42)-MIN(ROW('03.Muestra'!$D$8:$D$42))+1,""),ROW()-398)),"")</f>
        <v>https://www.comunidad.madrid/pjus_sede/conozcalasede</v>
      </c>
      <c r="D401" s="99" t="s">
        <v>106</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Tramites y servicios</v>
      </c>
      <c r="C402" s="85" t="str" cm="1">
        <f t="array" ref="C402">IFERROR(INDEX('03.Muestra'!$F$8:$F$42,SMALL(IF("Página Web"='03.Muestra'!$D$8:$D$42,ROW('03.Muestra'!$F$8:$F$42)-MIN(ROW('03.Muestra'!$D$8:$D$42))+1,""),ROW()-398)),"")</f>
        <v>https://www.comunidad.madrid/pjus_sede/tramitesyservicios</v>
      </c>
      <c r="D402" s="99" t="s">
        <v>106</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Ayuda</v>
      </c>
      <c r="C403" s="85" t="str" cm="1">
        <f t="array" ref="C403">IFERROR(INDEX('03.Muestra'!$F$8:$F$42,SMALL(IF("Página Web"='03.Muestra'!$D$8:$D$42,ROW('03.Muestra'!$F$8:$F$42)-MIN(ROW('03.Muestra'!$D$8:$D$42))+1,""),ROW()-398)),"")</f>
        <v>https://www.comunidad.madrid/pjus_sede/ayuda</v>
      </c>
      <c r="D403" s="99" t="s">
        <v>106</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Resultados de búsqueda</v>
      </c>
      <c r="C404" s="85" t="str" cm="1">
        <f t="array" ref="C404">IFERROR(INDEX('03.Muestra'!$F$8:$F$42,SMALL(IF("Página Web"='03.Muestra'!$D$8:$D$42,ROW('03.Muestra'!$F$8:$F$42)-MIN(ROW('03.Muestra'!$D$8:$D$42))+1,""),ROW()-398)),"")</f>
        <v>https://www.comunidad.madrid/pjus_sede/search/node/sugerencias</v>
      </c>
      <c r="D404" s="99" t="s">
        <v>106</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t="str" cm="1">
        <f t="array" ref="A405">IFERROR(INDEX('03.Muestra'!$B$8:$B$42,SMALL(IF("Página Web"='03.Muestra'!$D$8:$D$42,ROW('03.Muestra'!$B$8:$B$42)-MIN(ROW('03.Muestra'!$D$8:$D$42))+1,""),ROW()-398)),"")</f>
        <v/>
      </c>
      <c r="B405" s="85" t="str" cm="1">
        <f t="array" ref="B405">IFERROR(INDEX('03.Muestra'!$C$8:$C$42,SMALL(IF("Página Web"='03.Muestra'!$D$8:$D$42,ROW('03.Muestra'!$C$8:$C$42)-MIN(ROW('03.Muestra'!$D$8:$D$42))+1,""),ROW()-398)),"")</f>
        <v/>
      </c>
      <c r="C405" s="85" t="str" cm="1">
        <f t="array" ref="C405">IFERROR(INDEX('03.Muestra'!$F$8:$F$42,SMALL(IF("Página Web"='03.Muestra'!$D$8:$D$42,ROW('03.Muestra'!$F$8:$F$42)-MIN(ROW('03.Muestra'!$D$8:$D$42))+1,""),ROW()-398)),"")</f>
        <v/>
      </c>
      <c r="D405" s="99" t="str">
        <f t="shared" ref="D405:D433" si="21">IF(AND(B405&lt;&gt;"",C405&lt;&gt;""),"N/T","")</f>
        <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si="21"/>
        <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101</v>
      </c>
      <c r="B436" s="23" t="s">
        <v>93</v>
      </c>
      <c r="C436" s="24" t="s">
        <v>125</v>
      </c>
      <c r="D436" s="25" t="s">
        <v>103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https://www.comunidad.madrid/pjus_sede/</v>
      </c>
      <c r="D437" s="99" t="s">
        <v>106</v>
      </c>
      <c r="E437" s="79" t="str">
        <f t="shared" ref="E437:E471" si="22">IF(D437&lt;&gt;"",IF(AND(B437&lt;&gt;"",C437&lt;&gt;""),"","ERR"),"")</f>
        <v/>
      </c>
      <c r="F437" s="86" t="s">
        <v>104</v>
      </c>
      <c r="G437" s="87" t="s">
        <v>105</v>
      </c>
      <c r="H437" s="88" t="s">
        <v>106</v>
      </c>
      <c r="I437" s="89" t="s">
        <v>96</v>
      </c>
      <c r="J437" s="90" t="s">
        <v>94</v>
      </c>
      <c r="K437" s="181"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Accesibilidad</v>
      </c>
      <c r="C438" s="85" t="str" cm="1">
        <f t="array" ref="C438">IFERROR(INDEX('03.Muestra'!$F$8:$F$42,SMALL(IF("Página Web"='03.Muestra'!$D$8:$D$42,ROW('03.Muestra'!$F$8:$F$42)-MIN(ROW('03.Muestra'!$D$8:$D$42))+1,""),ROW()-436)),"")</f>
        <v>https://www.comunidad.madrid/pjus_sede/node/35</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6</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Conozca la sede</v>
      </c>
      <c r="C439" s="85" t="str" cm="1">
        <f t="array" ref="C439">IFERROR(INDEX('03.Muestra'!$F$8:$F$42,SMALL(IF("Página Web"='03.Muestra'!$D$8:$D$42,ROW('03.Muestra'!$F$8:$F$42)-MIN(ROW('03.Muestra'!$D$8:$D$42))+1,""),ROW()-436)),"")</f>
        <v>https://www.comunidad.madrid/pjus_sede/conozcalasede</v>
      </c>
      <c r="D439" s="99" t="s">
        <v>106</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Tramites y servicios</v>
      </c>
      <c r="C440" s="85" t="str" cm="1">
        <f t="array" ref="C440">IFERROR(INDEX('03.Muestra'!$F$8:$F$42,SMALL(IF("Página Web"='03.Muestra'!$D$8:$D$42,ROW('03.Muestra'!$F$8:$F$42)-MIN(ROW('03.Muestra'!$D$8:$D$42))+1,""),ROW()-436)),"")</f>
        <v>https://www.comunidad.madrid/pjus_sede/tramitesyservicios</v>
      </c>
      <c r="D440" s="99" t="s">
        <v>106</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Ayuda</v>
      </c>
      <c r="C441" s="85" t="str" cm="1">
        <f t="array" ref="C441">IFERROR(INDEX('03.Muestra'!$F$8:$F$42,SMALL(IF("Página Web"='03.Muestra'!$D$8:$D$42,ROW('03.Muestra'!$F$8:$F$42)-MIN(ROW('03.Muestra'!$D$8:$D$42))+1,""),ROW()-436)),"")</f>
        <v>https://www.comunidad.madrid/pjus_sede/ayuda</v>
      </c>
      <c r="D441" s="99" t="s">
        <v>106</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Resultados de búsqueda</v>
      </c>
      <c r="C442" s="85" t="str" cm="1">
        <f t="array" ref="C442">IFERROR(INDEX('03.Muestra'!$F$8:$F$42,SMALL(IF("Página Web"='03.Muestra'!$D$8:$D$42,ROW('03.Muestra'!$F$8:$F$42)-MIN(ROW('03.Muestra'!$D$8:$D$42))+1,""),ROW()-436)),"")</f>
        <v>https://www.comunidad.madrid/pjus_sede/search/node/sugerencias</v>
      </c>
      <c r="D442" s="99" t="s">
        <v>106</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IFERROR(INDEX('03.Muestra'!$B$8:$B$42,SMALL(IF("Página Web"='03.Muestra'!$D$8:$D$42,ROW('03.Muestra'!$B$8:$B$42)-MIN(ROW('03.Muestra'!$D$8:$D$42))+1,""),ROW()-436)),"")</f>
        <v/>
      </c>
      <c r="B443" s="85" t="str" cm="1">
        <f t="array" ref="B443">IFERROR(INDEX('03.Muestra'!$C$8:$C$42,SMALL(IF("Página Web"='03.Muestra'!$D$8:$D$42,ROW('03.Muestra'!$C$8:$C$42)-MIN(ROW('03.Muestra'!$D$8:$D$42))+1,""),ROW()-436)),"")</f>
        <v/>
      </c>
      <c r="C443" s="85" t="str" cm="1">
        <f t="array" ref="C443">IFERROR(INDEX('03.Muestra'!$F$8:$F$42,SMALL(IF("Página Web"='03.Muestra'!$D$8:$D$42,ROW('03.Muestra'!$F$8:$F$42)-MIN(ROW('03.Muestra'!$D$8:$D$42))+1,""),ROW()-436)),"")</f>
        <v/>
      </c>
      <c r="D443" s="99" t="str">
        <f t="shared" ref="D443:D471" si="23">IF(AND(B443&lt;&gt;"",C443&lt;&gt;""),"N/T","")</f>
        <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si="23"/>
        <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101</v>
      </c>
      <c r="B474" s="23" t="s">
        <v>93</v>
      </c>
      <c r="C474" s="24" t="s">
        <v>126</v>
      </c>
      <c r="D474" s="25" t="s">
        <v>103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https://www.comunidad.madrid/pjus_sede/</v>
      </c>
      <c r="D475" s="99" t="s">
        <v>106</v>
      </c>
      <c r="E475" s="79" t="str">
        <f t="shared" ref="E475:E509" si="24">IF(D475&lt;&gt;"",IF(AND(B475&lt;&gt;"",C475&lt;&gt;""),"","ERR"),"")</f>
        <v/>
      </c>
      <c r="F475" s="86" t="s">
        <v>104</v>
      </c>
      <c r="G475" s="87" t="s">
        <v>105</v>
      </c>
      <c r="H475" s="88" t="s">
        <v>106</v>
      </c>
      <c r="I475" s="89" t="s">
        <v>96</v>
      </c>
      <c r="J475" s="90" t="s">
        <v>94</v>
      </c>
      <c r="K475" s="181"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Accesibilidad</v>
      </c>
      <c r="C476" s="85" t="str" cm="1">
        <f t="array" ref="C476">IFERROR(INDEX('03.Muestra'!$F$8:$F$42,SMALL(IF("Página Web"='03.Muestra'!$D$8:$D$42,ROW('03.Muestra'!$F$8:$F$42)-MIN(ROW('03.Muestra'!$D$8:$D$42))+1,""),ROW()-474)),"")</f>
        <v>https://www.comunidad.madrid/pjus_sede/node/35</v>
      </c>
      <c r="D476" s="99" t="s">
        <v>106</v>
      </c>
      <c r="E476" s="79" t="str">
        <f t="shared" si="24"/>
        <v/>
      </c>
      <c r="F476" s="91">
        <f ca="1">COUNTIF($D475:INDIRECT("$D" &amp;  SUM(ROW()-1,'03.Muestra'!$D$45)-1),F475)</f>
        <v>0</v>
      </c>
      <c r="G476" s="91">
        <f ca="1">COUNTIF($D475:INDIRECT("$D" &amp;  SUM(ROW()-1,'03.Muestra'!$D$45)-1),G475)</f>
        <v>0</v>
      </c>
      <c r="H476" s="91">
        <f ca="1">COUNTIF($D475:INDIRECT("$D" &amp;  SUM(ROW()-1,'03.Muestra'!$D$45)-1),H475)</f>
        <v>6</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Conozca la sede</v>
      </c>
      <c r="C477" s="85" t="str" cm="1">
        <f t="array" ref="C477">IFERROR(INDEX('03.Muestra'!$F$8:$F$42,SMALL(IF("Página Web"='03.Muestra'!$D$8:$D$42,ROW('03.Muestra'!$F$8:$F$42)-MIN(ROW('03.Muestra'!$D$8:$D$42))+1,""),ROW()-474)),"")</f>
        <v>https://www.comunidad.madrid/pjus_sede/conozcalasede</v>
      </c>
      <c r="D477" s="99" t="s">
        <v>106</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Tramites y servicios</v>
      </c>
      <c r="C478" s="85" t="str" cm="1">
        <f t="array" ref="C478">IFERROR(INDEX('03.Muestra'!$F$8:$F$42,SMALL(IF("Página Web"='03.Muestra'!$D$8:$D$42,ROW('03.Muestra'!$F$8:$F$42)-MIN(ROW('03.Muestra'!$D$8:$D$42))+1,""),ROW()-474)),"")</f>
        <v>https://www.comunidad.madrid/pjus_sede/tramitesyservicios</v>
      </c>
      <c r="D478" s="99" t="s">
        <v>106</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Ayuda</v>
      </c>
      <c r="C479" s="85" t="str" cm="1">
        <f t="array" ref="C479">IFERROR(INDEX('03.Muestra'!$F$8:$F$42,SMALL(IF("Página Web"='03.Muestra'!$D$8:$D$42,ROW('03.Muestra'!$F$8:$F$42)-MIN(ROW('03.Muestra'!$D$8:$D$42))+1,""),ROW()-474)),"")</f>
        <v>https://www.comunidad.madrid/pjus_sede/ayuda</v>
      </c>
      <c r="D479" s="99" t="s">
        <v>106</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Resultados de búsqueda</v>
      </c>
      <c r="C480" s="85" t="str" cm="1">
        <f t="array" ref="C480">IFERROR(INDEX('03.Muestra'!$F$8:$F$42,SMALL(IF("Página Web"='03.Muestra'!$D$8:$D$42,ROW('03.Muestra'!$F$8:$F$42)-MIN(ROW('03.Muestra'!$D$8:$D$42))+1,""),ROW()-474)),"")</f>
        <v>https://www.comunidad.madrid/pjus_sede/search/node/sugerencias</v>
      </c>
      <c r="D480" s="99" t="s">
        <v>106</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IFERROR(INDEX('03.Muestra'!$B$8:$B$42,SMALL(IF("Página Web"='03.Muestra'!$D$8:$D$42,ROW('03.Muestra'!$B$8:$B$42)-MIN(ROW('03.Muestra'!$D$8:$D$42))+1,""),ROW()-474)),"")</f>
        <v/>
      </c>
      <c r="B481" s="85" t="str" cm="1">
        <f t="array" ref="B481">IFERROR(INDEX('03.Muestra'!$C$8:$C$42,SMALL(IF("Página Web"='03.Muestra'!$D$8:$D$42,ROW('03.Muestra'!$C$8:$C$42)-MIN(ROW('03.Muestra'!$D$8:$D$42))+1,""),ROW()-474)),"")</f>
        <v/>
      </c>
      <c r="C481" s="85" t="str" cm="1">
        <f t="array" ref="C481">IFERROR(INDEX('03.Muestra'!$F$8:$F$42,SMALL(IF("Página Web"='03.Muestra'!$D$8:$D$42,ROW('03.Muestra'!$F$8:$F$42)-MIN(ROW('03.Muestra'!$D$8:$D$42))+1,""),ROW()-474)),"")</f>
        <v/>
      </c>
      <c r="D481" s="99" t="str">
        <f t="shared" ref="D481:D509" si="25">IF(AND(B481&lt;&gt;"",C481&lt;&gt;""),"N/T","")</f>
        <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si="25"/>
        <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101</v>
      </c>
      <c r="B512" s="23" t="s">
        <v>93</v>
      </c>
      <c r="C512" s="24" t="s">
        <v>127</v>
      </c>
      <c r="D512" s="25" t="s">
        <v>103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https://www.comunidad.madrid/pjus_sede/</v>
      </c>
      <c r="D513" s="99" t="s">
        <v>106</v>
      </c>
      <c r="E513" s="79" t="str">
        <f t="shared" ref="E513:E547" si="26">IF(D513&lt;&gt;"",IF(AND(B513&lt;&gt;"",C513&lt;&gt;""),"","ERR"),"")</f>
        <v/>
      </c>
      <c r="F513" s="86" t="s">
        <v>104</v>
      </c>
      <c r="G513" s="87" t="s">
        <v>105</v>
      </c>
      <c r="H513" s="88" t="s">
        <v>106</v>
      </c>
      <c r="I513" s="89" t="s">
        <v>96</v>
      </c>
      <c r="J513" s="90" t="s">
        <v>94</v>
      </c>
      <c r="K513" s="181"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Accesibilidad</v>
      </c>
      <c r="C514" s="85" t="str" cm="1">
        <f t="array" ref="C514">IFERROR(INDEX('03.Muestra'!$F$8:$F$42,SMALL(IF("Página Web"='03.Muestra'!$D$8:$D$42,ROW('03.Muestra'!$F$8:$F$42)-MIN(ROW('03.Muestra'!$D$8:$D$42))+1,""),ROW()-512)),"")</f>
        <v>https://www.comunidad.madrid/pjus_sede/node/35</v>
      </c>
      <c r="D514" s="99" t="s">
        <v>106</v>
      </c>
      <c r="E514" s="79" t="str">
        <f t="shared" si="26"/>
        <v/>
      </c>
      <c r="F514" s="91">
        <f ca="1">COUNTIF($D513:INDIRECT("$D" &amp;  SUM(ROW()-1,'03.Muestra'!$D$45)-1),F513)</f>
        <v>0</v>
      </c>
      <c r="G514" s="91">
        <f ca="1">COUNTIF($D513:INDIRECT("$D" &amp;  SUM(ROW()-1,'03.Muestra'!$D$45)-1),G513)</f>
        <v>0</v>
      </c>
      <c r="H514" s="91">
        <f ca="1">COUNTIF($D513:INDIRECT("$D" &amp;  SUM(ROW()-1,'03.Muestra'!$D$45)-1),H513)</f>
        <v>6</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Conozca la sede</v>
      </c>
      <c r="C515" s="85" t="str" cm="1">
        <f t="array" ref="C515">IFERROR(INDEX('03.Muestra'!$F$8:$F$42,SMALL(IF("Página Web"='03.Muestra'!$D$8:$D$42,ROW('03.Muestra'!$F$8:$F$42)-MIN(ROW('03.Muestra'!$D$8:$D$42))+1,""),ROW()-512)),"")</f>
        <v>https://www.comunidad.madrid/pjus_sede/conozcalasede</v>
      </c>
      <c r="D515" s="99" t="s">
        <v>106</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Tramites y servicios</v>
      </c>
      <c r="C516" s="85" t="str" cm="1">
        <f t="array" ref="C516">IFERROR(INDEX('03.Muestra'!$F$8:$F$42,SMALL(IF("Página Web"='03.Muestra'!$D$8:$D$42,ROW('03.Muestra'!$F$8:$F$42)-MIN(ROW('03.Muestra'!$D$8:$D$42))+1,""),ROW()-512)),"")</f>
        <v>https://www.comunidad.madrid/pjus_sede/tramitesyservicios</v>
      </c>
      <c r="D516" s="99" t="s">
        <v>106</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Ayuda</v>
      </c>
      <c r="C517" s="85" t="str" cm="1">
        <f t="array" ref="C517">IFERROR(INDEX('03.Muestra'!$F$8:$F$42,SMALL(IF("Página Web"='03.Muestra'!$D$8:$D$42,ROW('03.Muestra'!$F$8:$F$42)-MIN(ROW('03.Muestra'!$D$8:$D$42))+1,""),ROW()-512)),"")</f>
        <v>https://www.comunidad.madrid/pjus_sede/ayuda</v>
      </c>
      <c r="D517" s="99" t="s">
        <v>106</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Resultados de búsqueda</v>
      </c>
      <c r="C518" s="85" t="str" cm="1">
        <f t="array" ref="C518">IFERROR(INDEX('03.Muestra'!$F$8:$F$42,SMALL(IF("Página Web"='03.Muestra'!$D$8:$D$42,ROW('03.Muestra'!$F$8:$F$42)-MIN(ROW('03.Muestra'!$D$8:$D$42))+1,""),ROW()-512)),"")</f>
        <v>https://www.comunidad.madrid/pjus_sede/search/node/sugerencias</v>
      </c>
      <c r="D518" s="99" t="s">
        <v>106</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IFERROR(INDEX('03.Muestra'!$B$8:$B$42,SMALL(IF("Página Web"='03.Muestra'!$D$8:$D$42,ROW('03.Muestra'!$B$8:$B$42)-MIN(ROW('03.Muestra'!$D$8:$D$42))+1,""),ROW()-512)),"")</f>
        <v/>
      </c>
      <c r="B519" s="85" t="str" cm="1">
        <f t="array" ref="B519">IFERROR(INDEX('03.Muestra'!$C$8:$C$42,SMALL(IF("Página Web"='03.Muestra'!$D$8:$D$42,ROW('03.Muestra'!$C$8:$C$42)-MIN(ROW('03.Muestra'!$D$8:$D$42))+1,""),ROW()-512)),"")</f>
        <v/>
      </c>
      <c r="C519" s="85" t="str" cm="1">
        <f t="array" ref="C519">IFERROR(INDEX('03.Muestra'!$F$8:$F$42,SMALL(IF("Página Web"='03.Muestra'!$D$8:$D$42,ROW('03.Muestra'!$F$8:$F$42)-MIN(ROW('03.Muestra'!$D$8:$D$42))+1,""),ROW()-512)),"")</f>
        <v/>
      </c>
      <c r="D519" s="99" t="str">
        <f t="shared" ref="D519:D547" si="27">IF(AND(B519&lt;&gt;"",C519&lt;&gt;""),"N/T","")</f>
        <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si="27"/>
        <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101</v>
      </c>
      <c r="B550" s="23" t="s">
        <v>93</v>
      </c>
      <c r="C550" s="24" t="s">
        <v>128</v>
      </c>
      <c r="D550" s="25" t="s">
        <v>103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https://www.comunidad.madrid/pjus_sede/</v>
      </c>
      <c r="D551" s="99" t="s">
        <v>106</v>
      </c>
      <c r="E551" s="79" t="str">
        <f t="shared" ref="E551:E585" si="28">IF(D551&lt;&gt;"",IF(AND(B551&lt;&gt;"",C551&lt;&gt;""),"","ERR"),"")</f>
        <v/>
      </c>
      <c r="F551" s="86" t="s">
        <v>104</v>
      </c>
      <c r="G551" s="87" t="s">
        <v>105</v>
      </c>
      <c r="H551" s="88" t="s">
        <v>106</v>
      </c>
      <c r="I551" s="89" t="s">
        <v>96</v>
      </c>
      <c r="J551" s="90" t="s">
        <v>94</v>
      </c>
      <c r="K551" s="181"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Accesibilidad</v>
      </c>
      <c r="C552" s="85" t="str" cm="1">
        <f t="array" ref="C552">IFERROR(INDEX('03.Muestra'!$F$8:$F$42,SMALL(IF("Página Web"='03.Muestra'!$D$8:$D$42,ROW('03.Muestra'!$F$8:$F$42)-MIN(ROW('03.Muestra'!$D$8:$D$42))+1,""),ROW()-550)),"")</f>
        <v>https://www.comunidad.madrid/pjus_sede/node/35</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6</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Conozca la sede</v>
      </c>
      <c r="C553" s="85" t="str" cm="1">
        <f t="array" ref="C553">IFERROR(INDEX('03.Muestra'!$F$8:$F$42,SMALL(IF("Página Web"='03.Muestra'!$D$8:$D$42,ROW('03.Muestra'!$F$8:$F$42)-MIN(ROW('03.Muestra'!$D$8:$D$42))+1,""),ROW()-550)),"")</f>
        <v>https://www.comunidad.madrid/pjus_sede/conozcalasede</v>
      </c>
      <c r="D553" s="99" t="s">
        <v>106</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Tramites y servicios</v>
      </c>
      <c r="C554" s="85" t="str" cm="1">
        <f t="array" ref="C554">IFERROR(INDEX('03.Muestra'!$F$8:$F$42,SMALL(IF("Página Web"='03.Muestra'!$D$8:$D$42,ROW('03.Muestra'!$F$8:$F$42)-MIN(ROW('03.Muestra'!$D$8:$D$42))+1,""),ROW()-550)),"")</f>
        <v>https://www.comunidad.madrid/pjus_sede/tramitesyservicios</v>
      </c>
      <c r="D554" s="99" t="s">
        <v>106</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Ayuda</v>
      </c>
      <c r="C555" s="85" t="str" cm="1">
        <f t="array" ref="C555">IFERROR(INDEX('03.Muestra'!$F$8:$F$42,SMALL(IF("Página Web"='03.Muestra'!$D$8:$D$42,ROW('03.Muestra'!$F$8:$F$42)-MIN(ROW('03.Muestra'!$D$8:$D$42))+1,""),ROW()-550)),"")</f>
        <v>https://www.comunidad.madrid/pjus_sede/ayuda</v>
      </c>
      <c r="D555" s="99" t="s">
        <v>106</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Resultados de búsqueda</v>
      </c>
      <c r="C556" s="85" t="str" cm="1">
        <f t="array" ref="C556">IFERROR(INDEX('03.Muestra'!$F$8:$F$42,SMALL(IF("Página Web"='03.Muestra'!$D$8:$D$42,ROW('03.Muestra'!$F$8:$F$42)-MIN(ROW('03.Muestra'!$D$8:$D$42))+1,""),ROW()-550)),"")</f>
        <v>https://www.comunidad.madrid/pjus_sede/search/node/sugerencias</v>
      </c>
      <c r="D556" s="99" t="s">
        <v>106</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IFERROR(INDEX('03.Muestra'!$B$8:$B$42,SMALL(IF("Página Web"='03.Muestra'!$D$8:$D$42,ROW('03.Muestra'!$B$8:$B$42)-MIN(ROW('03.Muestra'!$D$8:$D$42))+1,""),ROW()-550)),"")</f>
        <v/>
      </c>
      <c r="B557" s="85" t="str" cm="1">
        <f t="array" ref="B557">IFERROR(INDEX('03.Muestra'!$C$8:$C$42,SMALL(IF("Página Web"='03.Muestra'!$D$8:$D$42,ROW('03.Muestra'!$C$8:$C$42)-MIN(ROW('03.Muestra'!$D$8:$D$42))+1,""),ROW()-550)),"")</f>
        <v/>
      </c>
      <c r="C557" s="85" t="str" cm="1">
        <f t="array" ref="C557">IFERROR(INDEX('03.Muestra'!$F$8:$F$42,SMALL(IF("Página Web"='03.Muestra'!$D$8:$D$42,ROW('03.Muestra'!$F$8:$F$42)-MIN(ROW('03.Muestra'!$D$8:$D$42))+1,""),ROW()-550)),"")</f>
        <v/>
      </c>
      <c r="D557" s="99" t="str">
        <f t="shared" ref="D557:D585" si="29">IF(AND(B557&lt;&gt;"",C557&lt;&gt;""),"N/T","")</f>
        <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si="29"/>
        <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101</v>
      </c>
      <c r="B588" s="23" t="s">
        <v>93</v>
      </c>
      <c r="C588" s="24" t="s">
        <v>129</v>
      </c>
      <c r="D588" s="25" t="s">
        <v>103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https://www.comunidad.madrid/pjus_sede/</v>
      </c>
      <c r="D589" s="99" t="s">
        <v>106</v>
      </c>
      <c r="E589" s="79" t="str">
        <f t="shared" ref="E589:E623" si="30">IF(D589&lt;&gt;"",IF(AND(B589&lt;&gt;"",C589&lt;&gt;""),"","ERR"),"")</f>
        <v/>
      </c>
      <c r="F589" s="86" t="s">
        <v>104</v>
      </c>
      <c r="G589" s="87" t="s">
        <v>105</v>
      </c>
      <c r="H589" s="88" t="s">
        <v>106</v>
      </c>
      <c r="I589" s="89" t="s">
        <v>96</v>
      </c>
      <c r="J589" s="90" t="s">
        <v>94</v>
      </c>
      <c r="K589" s="181"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Accesibilidad</v>
      </c>
      <c r="C590" s="85" t="str" cm="1">
        <f t="array" ref="C590">IFERROR(INDEX('03.Muestra'!$F$8:$F$42,SMALL(IF("Página Web"='03.Muestra'!$D$8:$D$42,ROW('03.Muestra'!$F$8:$F$42)-MIN(ROW('03.Muestra'!$D$8:$D$42))+1,""),ROW()-588)),"")</f>
        <v>https://www.comunidad.madrid/pjus_sede/node/35</v>
      </c>
      <c r="D590" s="99" t="s">
        <v>106</v>
      </c>
      <c r="E590" s="79" t="str">
        <f t="shared" si="30"/>
        <v/>
      </c>
      <c r="F590" s="91">
        <f ca="1">COUNTIF($D589:INDIRECT("$D" &amp;  SUM(ROW()-1,'03.Muestra'!$D$45)-1),F589)</f>
        <v>0</v>
      </c>
      <c r="G590" s="91">
        <f ca="1">COUNTIF($D589:INDIRECT("$D" &amp;  SUM(ROW()-1,'03.Muestra'!$D$45)-1),G589)</f>
        <v>0</v>
      </c>
      <c r="H590" s="91">
        <f ca="1">COUNTIF($D589:INDIRECT("$D" &amp;  SUM(ROW()-1,'03.Muestra'!$D$45)-1),H589)</f>
        <v>6</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Conozca la sede</v>
      </c>
      <c r="C591" s="85" t="str" cm="1">
        <f t="array" ref="C591">IFERROR(INDEX('03.Muestra'!$F$8:$F$42,SMALL(IF("Página Web"='03.Muestra'!$D$8:$D$42,ROW('03.Muestra'!$F$8:$F$42)-MIN(ROW('03.Muestra'!$D$8:$D$42))+1,""),ROW()-588)),"")</f>
        <v>https://www.comunidad.madrid/pjus_sede/conozcalasede</v>
      </c>
      <c r="D591" s="99" t="s">
        <v>106</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Tramites y servicios</v>
      </c>
      <c r="C592" s="85" t="str" cm="1">
        <f t="array" ref="C592">IFERROR(INDEX('03.Muestra'!$F$8:$F$42,SMALL(IF("Página Web"='03.Muestra'!$D$8:$D$42,ROW('03.Muestra'!$F$8:$F$42)-MIN(ROW('03.Muestra'!$D$8:$D$42))+1,""),ROW()-588)),"")</f>
        <v>https://www.comunidad.madrid/pjus_sede/tramitesyservicios</v>
      </c>
      <c r="D592" s="99" t="s">
        <v>106</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Ayuda</v>
      </c>
      <c r="C593" s="85" t="str" cm="1">
        <f t="array" ref="C593">IFERROR(INDEX('03.Muestra'!$F$8:$F$42,SMALL(IF("Página Web"='03.Muestra'!$D$8:$D$42,ROW('03.Muestra'!$F$8:$F$42)-MIN(ROW('03.Muestra'!$D$8:$D$42))+1,""),ROW()-588)),"")</f>
        <v>https://www.comunidad.madrid/pjus_sede/ayuda</v>
      </c>
      <c r="D593" s="99" t="s">
        <v>106</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Resultados de búsqueda</v>
      </c>
      <c r="C594" s="85" t="str" cm="1">
        <f t="array" ref="C594">IFERROR(INDEX('03.Muestra'!$F$8:$F$42,SMALL(IF("Página Web"='03.Muestra'!$D$8:$D$42,ROW('03.Muestra'!$F$8:$F$42)-MIN(ROW('03.Muestra'!$D$8:$D$42))+1,""),ROW()-588)),"")</f>
        <v>https://www.comunidad.madrid/pjus_sede/search/node/sugerencias</v>
      </c>
      <c r="D594" s="99" t="s">
        <v>106</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IFERROR(INDEX('03.Muestra'!$B$8:$B$42,SMALL(IF("Página Web"='03.Muestra'!$D$8:$D$42,ROW('03.Muestra'!$B$8:$B$42)-MIN(ROW('03.Muestra'!$D$8:$D$42))+1,""),ROW()-588)),"")</f>
        <v/>
      </c>
      <c r="B595" s="85" t="str" cm="1">
        <f t="array" ref="B595">IFERROR(INDEX('03.Muestra'!$C$8:$C$42,SMALL(IF("Página Web"='03.Muestra'!$D$8:$D$42,ROW('03.Muestra'!$C$8:$C$42)-MIN(ROW('03.Muestra'!$D$8:$D$42))+1,""),ROW()-588)),"")</f>
        <v/>
      </c>
      <c r="C595" s="85" t="str" cm="1">
        <f t="array" ref="C595">IFERROR(INDEX('03.Muestra'!$F$8:$F$42,SMALL(IF("Página Web"='03.Muestra'!$D$8:$D$42,ROW('03.Muestra'!$F$8:$F$42)-MIN(ROW('03.Muestra'!$D$8:$D$42))+1,""),ROW()-588)),"")</f>
        <v/>
      </c>
      <c r="D595" s="99" t="str">
        <f t="shared" ref="D595:D623" si="31">IF(AND(B595&lt;&gt;"",C595&lt;&gt;""),"N/T","")</f>
        <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si="31"/>
        <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101</v>
      </c>
      <c r="B626" s="23" t="s">
        <v>93</v>
      </c>
      <c r="C626" s="24" t="s">
        <v>130</v>
      </c>
      <c r="D626" s="25" t="s">
        <v>103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https://www.comunidad.madrid/pjus_sede/</v>
      </c>
      <c r="D627" s="99" t="s">
        <v>106</v>
      </c>
      <c r="E627" s="79" t="str">
        <f t="shared" ref="E627:E661" si="32">IF(D627&lt;&gt;"",IF(AND(B627&lt;&gt;"",C627&lt;&gt;""),"","ERR"),"")</f>
        <v/>
      </c>
      <c r="F627" s="86" t="s">
        <v>104</v>
      </c>
      <c r="G627" s="87" t="s">
        <v>105</v>
      </c>
      <c r="H627" s="88" t="s">
        <v>106</v>
      </c>
      <c r="I627" s="89" t="s">
        <v>96</v>
      </c>
      <c r="J627" s="90" t="s">
        <v>94</v>
      </c>
      <c r="K627" s="181"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Accesibilidad</v>
      </c>
      <c r="C628" s="85" t="str" cm="1">
        <f t="array" ref="C628">IFERROR(INDEX('03.Muestra'!$F$8:$F$42,SMALL(IF("Página Web"='03.Muestra'!$D$8:$D$42,ROW('03.Muestra'!$F$8:$F$42)-MIN(ROW('03.Muestra'!$D$8:$D$42))+1,""),ROW()-626)),"")</f>
        <v>https://www.comunidad.madrid/pjus_sede/node/35</v>
      </c>
      <c r="D628" s="99" t="s">
        <v>106</v>
      </c>
      <c r="E628" s="79" t="str">
        <f t="shared" si="32"/>
        <v/>
      </c>
      <c r="F628" s="91">
        <f ca="1">COUNTIF($D627:INDIRECT("$D" &amp;  SUM(ROW()-1,'03.Muestra'!$D$45)-1),F627)</f>
        <v>0</v>
      </c>
      <c r="G628" s="91">
        <f ca="1">COUNTIF($D627:INDIRECT("$D" &amp;  SUM(ROW()-1,'03.Muestra'!$D$45)-1),G627)</f>
        <v>0</v>
      </c>
      <c r="H628" s="91">
        <f ca="1">COUNTIF($D627:INDIRECT("$D" &amp;  SUM(ROW()-1,'03.Muestra'!$D$45)-1),H627)</f>
        <v>6</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Conozca la sede</v>
      </c>
      <c r="C629" s="85" t="str" cm="1">
        <f t="array" ref="C629">IFERROR(INDEX('03.Muestra'!$F$8:$F$42,SMALL(IF("Página Web"='03.Muestra'!$D$8:$D$42,ROW('03.Muestra'!$F$8:$F$42)-MIN(ROW('03.Muestra'!$D$8:$D$42))+1,""),ROW()-626)),"")</f>
        <v>https://www.comunidad.madrid/pjus_sede/conozcalasede</v>
      </c>
      <c r="D629" s="99" t="s">
        <v>106</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Tramites y servicios</v>
      </c>
      <c r="C630" s="85" t="str" cm="1">
        <f t="array" ref="C630">IFERROR(INDEX('03.Muestra'!$F$8:$F$42,SMALL(IF("Página Web"='03.Muestra'!$D$8:$D$42,ROW('03.Muestra'!$F$8:$F$42)-MIN(ROW('03.Muestra'!$D$8:$D$42))+1,""),ROW()-626)),"")</f>
        <v>https://www.comunidad.madrid/pjus_sede/tramitesyservicios</v>
      </c>
      <c r="D630" s="99" t="s">
        <v>106</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Ayuda</v>
      </c>
      <c r="C631" s="85" t="str" cm="1">
        <f t="array" ref="C631">IFERROR(INDEX('03.Muestra'!$F$8:$F$42,SMALL(IF("Página Web"='03.Muestra'!$D$8:$D$42,ROW('03.Muestra'!$F$8:$F$42)-MIN(ROW('03.Muestra'!$D$8:$D$42))+1,""),ROW()-626)),"")</f>
        <v>https://www.comunidad.madrid/pjus_sede/ayuda</v>
      </c>
      <c r="D631" s="99" t="s">
        <v>106</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Resultados de búsqueda</v>
      </c>
      <c r="C632" s="85" t="str" cm="1">
        <f t="array" ref="C632">IFERROR(INDEX('03.Muestra'!$F$8:$F$42,SMALL(IF("Página Web"='03.Muestra'!$D$8:$D$42,ROW('03.Muestra'!$F$8:$F$42)-MIN(ROW('03.Muestra'!$D$8:$D$42))+1,""),ROW()-626)),"")</f>
        <v>https://www.comunidad.madrid/pjus_sede/search/node/sugerencias</v>
      </c>
      <c r="D632" s="99" t="s">
        <v>106</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t="str" cm="1">
        <f t="array" ref="A633">IFERROR(INDEX('03.Muestra'!$B$8:$B$42,SMALL(IF("Página Web"='03.Muestra'!$D$8:$D$42,ROW('03.Muestra'!$B$8:$B$42)-MIN(ROW('03.Muestra'!$D$8:$D$42))+1,""),ROW()-626)),"")</f>
        <v/>
      </c>
      <c r="B633" s="85" t="str" cm="1">
        <f t="array" ref="B633">IFERROR(INDEX('03.Muestra'!$C$8:$C$42,SMALL(IF("Página Web"='03.Muestra'!$D$8:$D$42,ROW('03.Muestra'!$C$8:$C$42)-MIN(ROW('03.Muestra'!$D$8:$D$42))+1,""),ROW()-626)),"")</f>
        <v/>
      </c>
      <c r="C633" s="85" t="str" cm="1">
        <f t="array" ref="C633">IFERROR(INDEX('03.Muestra'!$F$8:$F$42,SMALL(IF("Página Web"='03.Muestra'!$D$8:$D$42,ROW('03.Muestra'!$F$8:$F$42)-MIN(ROW('03.Muestra'!$D$8:$D$42))+1,""),ROW()-626)),"")</f>
        <v/>
      </c>
      <c r="D633" s="99" t="str">
        <f t="shared" ref="D633:D661" si="33">IF(AND(B633&lt;&gt;"",C633&lt;&gt;""),"N/T","")</f>
        <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si="33"/>
        <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101</v>
      </c>
      <c r="B664" s="23" t="s">
        <v>93</v>
      </c>
      <c r="C664" s="172" t="s">
        <v>131</v>
      </c>
      <c r="D664" s="25" t="s">
        <v>103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https://www.comunidad.madrid/pjus_sede/</v>
      </c>
      <c r="D665" s="99" t="s">
        <v>106</v>
      </c>
      <c r="E665" s="79" t="str">
        <f t="shared" ref="E665:E699" si="34">IF(D665&lt;&gt;"",IF(AND(B665&lt;&gt;"",C665&lt;&gt;""),"","ERR"),"")</f>
        <v/>
      </c>
      <c r="F665" s="86" t="s">
        <v>104</v>
      </c>
      <c r="G665" s="87" t="s">
        <v>105</v>
      </c>
      <c r="H665" s="88" t="s">
        <v>106</v>
      </c>
      <c r="I665" s="89" t="s">
        <v>96</v>
      </c>
      <c r="J665" s="90" t="s">
        <v>94</v>
      </c>
      <c r="K665" s="181"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Accesibilidad</v>
      </c>
      <c r="C666" s="85" t="str" cm="1">
        <f t="array" ref="C666">IFERROR(INDEX('03.Muestra'!$F$8:$F$42,SMALL(IF("Página Web"='03.Muestra'!$D$8:$D$42,ROW('03.Muestra'!$F$8:$F$42)-MIN(ROW('03.Muestra'!$D$8:$D$42))+1,""),ROW()-664)),"")</f>
        <v>https://www.comunidad.madrid/pjus_sede/node/35</v>
      </c>
      <c r="D666" s="99" t="s">
        <v>106</v>
      </c>
      <c r="E666" s="79" t="str">
        <f t="shared" si="34"/>
        <v/>
      </c>
      <c r="F666" s="91">
        <f ca="1">COUNTIF($D665:INDIRECT("$D" &amp;  SUM(ROW()-1,'03.Muestra'!$D$45)-1),F665)</f>
        <v>0</v>
      </c>
      <c r="G666" s="91">
        <f ca="1">COUNTIF($D665:INDIRECT("$D" &amp;  SUM(ROW()-1,'03.Muestra'!$D$45)-1),G665)</f>
        <v>0</v>
      </c>
      <c r="H666" s="91">
        <f ca="1">COUNTIF($D665:INDIRECT("$D" &amp;  SUM(ROW()-1,'03.Muestra'!$D$45)-1),H665)</f>
        <v>6</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Conozca la sede</v>
      </c>
      <c r="C667" s="85" t="str" cm="1">
        <f t="array" ref="C667">IFERROR(INDEX('03.Muestra'!$F$8:$F$42,SMALL(IF("Página Web"='03.Muestra'!$D$8:$D$42,ROW('03.Muestra'!$F$8:$F$42)-MIN(ROW('03.Muestra'!$D$8:$D$42))+1,""),ROW()-664)),"")</f>
        <v>https://www.comunidad.madrid/pjus_sede/conozcalasede</v>
      </c>
      <c r="D667" s="99" t="s">
        <v>106</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Tramites y servicios</v>
      </c>
      <c r="C668" s="85" t="str" cm="1">
        <f t="array" ref="C668">IFERROR(INDEX('03.Muestra'!$F$8:$F$42,SMALL(IF("Página Web"='03.Muestra'!$D$8:$D$42,ROW('03.Muestra'!$F$8:$F$42)-MIN(ROW('03.Muestra'!$D$8:$D$42))+1,""),ROW()-664)),"")</f>
        <v>https://www.comunidad.madrid/pjus_sede/tramitesyservicios</v>
      </c>
      <c r="D668" s="99" t="s">
        <v>106</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Ayuda</v>
      </c>
      <c r="C669" s="85" t="str" cm="1">
        <f t="array" ref="C669">IFERROR(INDEX('03.Muestra'!$F$8:$F$42,SMALL(IF("Página Web"='03.Muestra'!$D$8:$D$42,ROW('03.Muestra'!$F$8:$F$42)-MIN(ROW('03.Muestra'!$D$8:$D$42))+1,""),ROW()-664)),"")</f>
        <v>https://www.comunidad.madrid/pjus_sede/ayuda</v>
      </c>
      <c r="D669" s="99" t="s">
        <v>106</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Resultados de búsqueda</v>
      </c>
      <c r="C670" s="85" t="str" cm="1">
        <f t="array" ref="C670">IFERROR(INDEX('03.Muestra'!$F$8:$F$42,SMALL(IF("Página Web"='03.Muestra'!$D$8:$D$42,ROW('03.Muestra'!$F$8:$F$42)-MIN(ROW('03.Muestra'!$D$8:$D$42))+1,""),ROW()-664)),"")</f>
        <v>https://www.comunidad.madrid/pjus_sede/search/node/sugerencias</v>
      </c>
      <c r="D670" s="99" t="s">
        <v>106</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t="str" cm="1">
        <f t="array" ref="A671">IFERROR(INDEX('03.Muestra'!$B$8:$B$42,SMALL(IF("Página Web"='03.Muestra'!$D$8:$D$42,ROW('03.Muestra'!$B$8:$B$42)-MIN(ROW('03.Muestra'!$D$8:$D$42))+1,""),ROW()-664)),"")</f>
        <v/>
      </c>
      <c r="B671" s="85" t="str" cm="1">
        <f t="array" ref="B671">IFERROR(INDEX('03.Muestra'!$C$8:$C$42,SMALL(IF("Página Web"='03.Muestra'!$D$8:$D$42,ROW('03.Muestra'!$C$8:$C$42)-MIN(ROW('03.Muestra'!$D$8:$D$42))+1,""),ROW()-664)),"")</f>
        <v/>
      </c>
      <c r="C671" s="85" t="str" cm="1">
        <f t="array" ref="C671">IFERROR(INDEX('03.Muestra'!$F$8:$F$42,SMALL(IF("Página Web"='03.Muestra'!$D$8:$D$42,ROW('03.Muestra'!$F$8:$F$42)-MIN(ROW('03.Muestra'!$D$8:$D$42))+1,""),ROW()-664)),"")</f>
        <v/>
      </c>
      <c r="D671" s="99" t="str">
        <f t="shared" ref="D671:D699" si="35">IF(AND(B671&lt;&gt;"",C671&lt;&gt;""),"N/T","")</f>
        <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si="35"/>
        <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101</v>
      </c>
      <c r="B702" s="23" t="s">
        <v>93</v>
      </c>
      <c r="C702" s="172" t="s">
        <v>132</v>
      </c>
      <c r="D702" s="25" t="s">
        <v>103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https://www.comunidad.madrid/pjus_sede/</v>
      </c>
      <c r="D703" s="99" t="s">
        <v>106</v>
      </c>
      <c r="E703" s="79" t="str">
        <f t="shared" ref="E703:E737" si="36">IF(D703&lt;&gt;"",IF(AND(B703&lt;&gt;"",C703&lt;&gt;""),"","ERR"),"")</f>
        <v/>
      </c>
      <c r="F703" s="86" t="s">
        <v>104</v>
      </c>
      <c r="G703" s="87" t="s">
        <v>105</v>
      </c>
      <c r="H703" s="88" t="s">
        <v>106</v>
      </c>
      <c r="I703" s="89" t="s">
        <v>96</v>
      </c>
      <c r="J703" s="90" t="s">
        <v>94</v>
      </c>
      <c r="K703" s="181"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Accesibilidad</v>
      </c>
      <c r="C704" s="85" t="str" cm="1">
        <f t="array" ref="C704">IFERROR(INDEX('03.Muestra'!$F$8:$F$42,SMALL(IF("Página Web"='03.Muestra'!$D$8:$D$42,ROW('03.Muestra'!$F$8:$F$42)-MIN(ROW('03.Muestra'!$D$8:$D$42))+1,""),ROW()-702)),"")</f>
        <v>https://www.comunidad.madrid/pjus_sede/node/35</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6</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Conozca la sede</v>
      </c>
      <c r="C705" s="85" t="str" cm="1">
        <f t="array" ref="C705">IFERROR(INDEX('03.Muestra'!$F$8:$F$42,SMALL(IF("Página Web"='03.Muestra'!$D$8:$D$42,ROW('03.Muestra'!$F$8:$F$42)-MIN(ROW('03.Muestra'!$D$8:$D$42))+1,""),ROW()-702)),"")</f>
        <v>https://www.comunidad.madrid/pjus_sede/conozcalasede</v>
      </c>
      <c r="D705" s="99" t="s">
        <v>106</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Tramites y servicios</v>
      </c>
      <c r="C706" s="85" t="str" cm="1">
        <f t="array" ref="C706">IFERROR(INDEX('03.Muestra'!$F$8:$F$42,SMALL(IF("Página Web"='03.Muestra'!$D$8:$D$42,ROW('03.Muestra'!$F$8:$F$42)-MIN(ROW('03.Muestra'!$D$8:$D$42))+1,""),ROW()-702)),"")</f>
        <v>https://www.comunidad.madrid/pjus_sede/tramitesyservicios</v>
      </c>
      <c r="D706" s="99" t="s">
        <v>106</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Ayuda</v>
      </c>
      <c r="C707" s="85" t="str" cm="1">
        <f t="array" ref="C707">IFERROR(INDEX('03.Muestra'!$F$8:$F$42,SMALL(IF("Página Web"='03.Muestra'!$D$8:$D$42,ROW('03.Muestra'!$F$8:$F$42)-MIN(ROW('03.Muestra'!$D$8:$D$42))+1,""),ROW()-702)),"")</f>
        <v>https://www.comunidad.madrid/pjus_sede/ayuda</v>
      </c>
      <c r="D707" s="99" t="s">
        <v>106</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Resultados de búsqueda</v>
      </c>
      <c r="C708" s="85" t="str" cm="1">
        <f t="array" ref="C708">IFERROR(INDEX('03.Muestra'!$F$8:$F$42,SMALL(IF("Página Web"='03.Muestra'!$D$8:$D$42,ROW('03.Muestra'!$F$8:$F$42)-MIN(ROW('03.Muestra'!$D$8:$D$42))+1,""),ROW()-702)),"")</f>
        <v>https://www.comunidad.madrid/pjus_sede/search/node/sugerencias</v>
      </c>
      <c r="D708" s="99" t="s">
        <v>106</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t="str" cm="1">
        <f t="array" ref="A709">IFERROR(INDEX('03.Muestra'!$B$8:$B$42,SMALL(IF("Página Web"='03.Muestra'!$D$8:$D$42,ROW('03.Muestra'!$B$8:$B$42)-MIN(ROW('03.Muestra'!$D$8:$D$42))+1,""),ROW()-702)),"")</f>
        <v/>
      </c>
      <c r="B709" s="85" t="str" cm="1">
        <f t="array" ref="B709">IFERROR(INDEX('03.Muestra'!$C$8:$C$42,SMALL(IF("Página Web"='03.Muestra'!$D$8:$D$42,ROW('03.Muestra'!$C$8:$C$42)-MIN(ROW('03.Muestra'!$D$8:$D$42))+1,""),ROW()-702)),"")</f>
        <v/>
      </c>
      <c r="C709" s="85" t="str" cm="1">
        <f t="array" ref="C709">IFERROR(INDEX('03.Muestra'!$F$8:$F$42,SMALL(IF("Página Web"='03.Muestra'!$D$8:$D$42,ROW('03.Muestra'!$F$8:$F$42)-MIN(ROW('03.Muestra'!$D$8:$D$42))+1,""),ROW()-702)),"")</f>
        <v/>
      </c>
      <c r="D709" s="99" t="str">
        <f t="shared" ref="D709:D737" si="37">IF(AND(B709&lt;&gt;"",C709&lt;&gt;""),"N/T","")</f>
        <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si="37"/>
        <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19" zoomScale="85" zoomScaleNormal="85" workbookViewId="0">
      <selection activeCell="D323" sqref="D323:D32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COUNTIF($B$18:$B$4076,B12)</f>
        <v>9</v>
      </c>
      <c r="D12" s="26"/>
      <c r="E12" s="14"/>
      <c r="F12" s="199" t="s">
        <v>94</v>
      </c>
      <c r="G12" s="72">
        <f ca="1">J20+J58+J96+J134+J172+J210+J248+J286+J324</f>
        <v>0</v>
      </c>
      <c r="H12" s="42">
        <f ca="1">IF(($G$15+$K$15)=0,0,G12/($G$15+$K$15))</f>
        <v>0</v>
      </c>
      <c r="I12" s="26"/>
      <c r="J12" s="183" t="s">
        <v>95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f>
        <v>0</v>
      </c>
      <c r="H13" s="42">
        <f ca="1">IF(($G$15+$K$15)=0,0,G13/($G$15+$K$15))</f>
        <v>0</v>
      </c>
      <c r="I13" s="26"/>
      <c r="J13" s="183" t="s">
        <v>97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98</v>
      </c>
      <c r="C14" s="201">
        <f>C12+C13</f>
        <v>9</v>
      </c>
      <c r="D14" s="26"/>
      <c r="E14" s="14"/>
      <c r="F14" s="199" t="s">
        <v>99</v>
      </c>
      <c r="G14" s="72">
        <f ca="1">H20+H58+H96+H134+H172+H210+H248+H286+H324</f>
        <v>54</v>
      </c>
      <c r="H14" s="42">
        <f ca="1">IF(($G$15+$K$15)=0,0,G14/($G$15+$K$15))</f>
        <v>1</v>
      </c>
      <c r="I14" s="26"/>
      <c r="J14" s="183" t="s">
        <v>100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54</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134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https://www.comunidad.madrid/pjus_sede/</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https://www.comunidad.madrid/pjus_sede/node/35</v>
      </c>
      <c r="D20" s="99" t="s">
        <v>106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Conozca la sede</v>
      </c>
      <c r="C21" s="85" t="str" cm="1">
        <f t="array" ref="C21">IFERROR(INDEX('03.Muestra'!$F$8:$F$42,SMALL(IF("Página Web"='03.Muestra'!$D$8:$D$42,ROW('03.Muestra'!$F$8:$F$42)-MIN(ROW('03.Muestra'!$D$8:$D$42))+1,""),ROW()-18)),"")</f>
        <v>https://www.comunidad.madrid/pjus_sede/conozcalasede</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Tramites y servicios</v>
      </c>
      <c r="C22" s="85" t="str" cm="1">
        <f t="array" ref="C22">IFERROR(INDEX('03.Muestra'!$F$8:$F$42,SMALL(IF("Página Web"='03.Muestra'!$D$8:$D$42,ROW('03.Muestra'!$F$8:$F$42)-MIN(ROW('03.Muestra'!$D$8:$D$42))+1,""),ROW()-18)),"")</f>
        <v>https://www.comunidad.madrid/pjus_sede/tramitesyservicios</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Ayuda</v>
      </c>
      <c r="C23" s="85" t="str" cm="1">
        <f t="array" ref="C23">IFERROR(INDEX('03.Muestra'!$F$8:$F$42,SMALL(IF("Página Web"='03.Muestra'!$D$8:$D$42,ROW('03.Muestra'!$F$8:$F$42)-MIN(ROW('03.Muestra'!$D$8:$D$42))+1,""),ROW()-18)),"")</f>
        <v>https://www.comunidad.madrid/pjus_sede/ayuda</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Resultados de búsqueda</v>
      </c>
      <c r="C24" s="85" t="str" cm="1">
        <f t="array" ref="C24">IFERROR(INDEX('03.Muestra'!$F$8:$F$42,SMALL(IF("Página Web"='03.Muestra'!$D$8:$D$42,ROW('03.Muestra'!$F$8:$F$42)-MIN(ROW('03.Muestra'!$D$8:$D$42))+1,""),ROW()-18)),"")</f>
        <v>https://www.comunidad.madrid/pjus_sede/search/node/sugerencias</v>
      </c>
      <c r="D24" s="99" t="s">
        <v>106</v>
      </c>
      <c r="E24" s="79" t="str">
        <f t="shared" si="0"/>
        <v/>
      </c>
      <c r="F24" s="18"/>
      <c r="G24" s="18"/>
      <c r="H24" s="18"/>
      <c r="I24" s="18"/>
      <c r="K24" s="87" t="s">
        <v>105</v>
      </c>
      <c r="L24" s="92" t="s">
        <v>109</v>
      </c>
      <c r="AD24" s="18"/>
    </row>
    <row r="25" spans="1:30" ht="12" customHeight="1">
      <c r="A25" s="39" t="str" cm="1">
        <f t="array" ref="A25">IFERROR(INDEX('03.Muestra'!$B$8:$B$42,SMALL(IF("Página Web"='03.Muestra'!$D$8:$D$42,ROW('03.Muestra'!$B$8:$B$42)-MIN(ROW('03.Muestra'!$D$8:$D$42))+1,""),ROW()-18)),"")</f>
        <v/>
      </c>
      <c r="B25" s="85" t="str" cm="1">
        <f t="array" ref="B25">IFERROR(INDEX('03.Muestra'!$C$8:$C$42,SMALL(IF("Página Web"='03.Muestra'!$D$8:$D$42,ROW('03.Muestra'!$C$8:$C$42)-MIN(ROW('03.Muestra'!$D$8:$D$42))+1,""),ROW()-18)),"")</f>
        <v/>
      </c>
      <c r="C25" s="85"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101</v>
      </c>
      <c r="B56" s="23" t="s">
        <v>93</v>
      </c>
      <c r="C56" s="24" t="s">
        <v>135</v>
      </c>
      <c r="D56" s="25" t="s">
        <v>103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https://www.comunidad.madrid/pjus_sede/</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https://www.comunidad.madrid/pjus_sede/node/35</v>
      </c>
      <c r="D58" s="99" t="s">
        <v>106</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Conozca la sede</v>
      </c>
      <c r="C59" s="85" t="str" cm="1">
        <f t="array" ref="C59">IFERROR(INDEX('03.Muestra'!$F$8:$F$42,SMALL(IF("Página Web"='03.Muestra'!$D$8:$D$42,ROW('03.Muestra'!$F$8:$F$42)-MIN(ROW('03.Muestra'!$D$8:$D$42))+1,""),ROW()-56)),"")</f>
        <v>https://www.comunidad.madrid/pjus_sede/conozcalasede</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Tramites y servicios</v>
      </c>
      <c r="C60" s="85" t="str" cm="1">
        <f t="array" ref="C60">IFERROR(INDEX('03.Muestra'!$F$8:$F$42,SMALL(IF("Página Web"='03.Muestra'!$D$8:$D$42,ROW('03.Muestra'!$F$8:$F$42)-MIN(ROW('03.Muestra'!$D$8:$D$42))+1,""),ROW()-56)),"")</f>
        <v>https://www.comunidad.madrid/pjus_sede/tramitesyservicios</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Ayuda</v>
      </c>
      <c r="C61" s="85" t="str" cm="1">
        <f t="array" ref="C61">IFERROR(INDEX('03.Muestra'!$F$8:$F$42,SMALL(IF("Página Web"='03.Muestra'!$D$8:$D$42,ROW('03.Muestra'!$F$8:$F$42)-MIN(ROW('03.Muestra'!$D$8:$D$42))+1,""),ROW()-56)),"")</f>
        <v>https://www.comunidad.madrid/pjus_sede/ayuda</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Resultados de búsqueda</v>
      </c>
      <c r="C62" s="85" t="str" cm="1">
        <f t="array" ref="C62">IFERROR(INDEX('03.Muestra'!$F$8:$F$42,SMALL(IF("Página Web"='03.Muestra'!$D$8:$D$42,ROW('03.Muestra'!$F$8:$F$42)-MIN(ROW('03.Muestra'!$D$8:$D$42))+1,""),ROW()-56)),"")</f>
        <v>https://www.comunidad.madrid/pjus_sede/search/node/sugerencias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IFERROR(INDEX('03.Muestra'!$B$8:$B$42,SMALL(IF("Página Web"='03.Muestra'!$D$8:$D$42,ROW('03.Muestra'!$B$8:$B$42)-MIN(ROW('03.Muestra'!$D$8:$D$42))+1,""),ROW()-56)),"")</f>
        <v/>
      </c>
      <c r="B63" s="85" t="str" cm="1">
        <f t="array" ref="B63">IFERROR(INDEX('03.Muestra'!$C$8:$C$42,SMALL(IF("Página Web"='03.Muestra'!$D$8:$D$42,ROW('03.Muestra'!$C$8:$C$42)-MIN(ROW('03.Muestra'!$D$8:$D$42))+1,""),ROW()-56)),"")</f>
        <v/>
      </c>
      <c r="C63" s="8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136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https://www.comunidad.madrid/pjus_sede/</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https://www.comunidad.madrid/pjus_sede/node/35</v>
      </c>
      <c r="D96" s="99" t="s">
        <v>106</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Conozca la sede</v>
      </c>
      <c r="C97" s="85" t="str" cm="1">
        <f t="array" ref="C97">IFERROR(INDEX('03.Muestra'!$F$8:$F$42,SMALL(IF("Página Web"='03.Muestra'!$D$8:$D$42,ROW('03.Muestra'!$F$8:$F$42)-MIN(ROW('03.Muestra'!$D$8:$D$42))+1,""),ROW()-94)),"")</f>
        <v>https://www.comunidad.madrid/pjus_sede/conozcalasede</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Tramites y servicios</v>
      </c>
      <c r="C98" s="85" t="str" cm="1">
        <f t="array" ref="C98">IFERROR(INDEX('03.Muestra'!$F$8:$F$42,SMALL(IF("Página Web"='03.Muestra'!$D$8:$D$42,ROW('03.Muestra'!$F$8:$F$42)-MIN(ROW('03.Muestra'!$D$8:$D$42))+1,""),ROW()-94)),"")</f>
        <v>https://www.comunidad.madrid/pjus_sede/tramitesyservicios</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Ayuda</v>
      </c>
      <c r="C99" s="85" t="str" cm="1">
        <f t="array" ref="C99">IFERROR(INDEX('03.Muestra'!$F$8:$F$42,SMALL(IF("Página Web"='03.Muestra'!$D$8:$D$42,ROW('03.Muestra'!$F$8:$F$42)-MIN(ROW('03.Muestra'!$D$8:$D$42))+1,""),ROW()-94)),"")</f>
        <v>https://www.comunidad.madrid/pjus_sede/ayuda</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Resultados de búsqueda</v>
      </c>
      <c r="C100" s="85" t="str" cm="1">
        <f t="array" ref="C100">IFERROR(INDEX('03.Muestra'!$F$8:$F$42,SMALL(IF("Página Web"='03.Muestra'!$D$8:$D$42,ROW('03.Muestra'!$F$8:$F$42)-MIN(ROW('03.Muestra'!$D$8:$D$42))+1,""),ROW()-94)),"")</f>
        <v>https://www.comunidad.madrid/pjus_sede/search/node/sugerencias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IFERROR(INDEX('03.Muestra'!$B$8:$B$42,SMALL(IF("Página Web"='03.Muestra'!$D$8:$D$42,ROW('03.Muestra'!$B$8:$B$42)-MIN(ROW('03.Muestra'!$D$8:$D$42))+1,""),ROW()-94)),"")</f>
        <v/>
      </c>
      <c r="B101" s="85" t="str" cm="1">
        <f t="array" ref="B101">IFERROR(INDEX('03.Muestra'!$C$8:$C$42,SMALL(IF("Página Web"='03.Muestra'!$D$8:$D$42,ROW('03.Muestra'!$C$8:$C$42)-MIN(ROW('03.Muestra'!$D$8:$D$42))+1,""),ROW()-94)),"")</f>
        <v/>
      </c>
      <c r="C101" s="8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172" t="s">
        <v>137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https://www.comunidad.madrid/pjus_sede/</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https://www.comunidad.madrid/pjus_sede/node/35</v>
      </c>
      <c r="D134" s="99" t="s">
        <v>106</v>
      </c>
      <c r="E134" s="79" t="str">
        <f t="shared" si="6"/>
        <v/>
      </c>
      <c r="F134" s="91">
        <f ca="1">COUNTIF($D133:INDIRECT("$D" &amp;  SUM(ROW()-1,'03.Muestra'!$D$45)-1),F133)</f>
        <v>0</v>
      </c>
      <c r="G134" s="91">
        <f ca="1">COUNTIF($D133:INDIRECT("$D" &amp;  SUM(ROW()-1,'03.Muestra'!$D$45)-1),G133)</f>
        <v>0</v>
      </c>
      <c r="H134" s="91">
        <f ca="1">COUNTIF($D133:INDIRECT("$D" &amp;  SUM(ROW()-1,'03.Muestra'!$D$45)-1),H133)</f>
        <v>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Conozca la sede</v>
      </c>
      <c r="C135" s="85" t="str" cm="1">
        <f t="array" ref="C135">IFERROR(INDEX('03.Muestra'!$F$8:$F$42,SMALL(IF("Página Web"='03.Muestra'!$D$8:$D$42,ROW('03.Muestra'!$F$8:$F$42)-MIN(ROW('03.Muestra'!$D$8:$D$42))+1,""),ROW()-132)),"")</f>
        <v>https://www.comunidad.madrid/pjus_sede/conozcalasede</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Tramites y servicios</v>
      </c>
      <c r="C136" s="85" t="str" cm="1">
        <f t="array" ref="C136">IFERROR(INDEX('03.Muestra'!$F$8:$F$42,SMALL(IF("Página Web"='03.Muestra'!$D$8:$D$42,ROW('03.Muestra'!$F$8:$F$42)-MIN(ROW('03.Muestra'!$D$8:$D$42))+1,""),ROW()-132)),"")</f>
        <v>https://www.comunidad.madrid/pjus_sede/tramitesyservicios</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Ayuda</v>
      </c>
      <c r="C137" s="85" t="str" cm="1">
        <f t="array" ref="C137">IFERROR(INDEX('03.Muestra'!$F$8:$F$42,SMALL(IF("Página Web"='03.Muestra'!$D$8:$D$42,ROW('03.Muestra'!$F$8:$F$42)-MIN(ROW('03.Muestra'!$D$8:$D$42))+1,""),ROW()-132)),"")</f>
        <v>https://www.comunidad.madrid/pjus_sede/ayuda</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Resultados de búsqueda</v>
      </c>
      <c r="C138" s="85" t="str" cm="1">
        <f t="array" ref="C138">IFERROR(INDEX('03.Muestra'!$F$8:$F$42,SMALL(IF("Página Web"='03.Muestra'!$D$8:$D$42,ROW('03.Muestra'!$F$8:$F$42)-MIN(ROW('03.Muestra'!$D$8:$D$42))+1,""),ROW()-132)),"")</f>
        <v>https://www.comunidad.madrid/pjus_sede/search/node/sugerencias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IFERROR(INDEX('03.Muestra'!$B$8:$B$42,SMALL(IF("Página Web"='03.Muestra'!$D$8:$D$42,ROW('03.Muestra'!$B$8:$B$42)-MIN(ROW('03.Muestra'!$D$8:$D$42))+1,""),ROW()-132)),"")</f>
        <v/>
      </c>
      <c r="B139" s="85" t="str" cm="1">
        <f t="array" ref="B139">IFERROR(INDEX('03.Muestra'!$C$8:$C$42,SMALL(IF("Página Web"='03.Muestra'!$D$8:$D$42,ROW('03.Muestra'!$C$8:$C$42)-MIN(ROW('03.Muestra'!$D$8:$D$42))+1,""),ROW()-132)),"")</f>
        <v/>
      </c>
      <c r="C139" s="85" t="str" cm="1">
        <f t="array" ref="C139">IFERROR(INDEX('03.Muestra'!$F$8:$F$42,SMALL(IF("Página Web"='03.Muestra'!$D$8:$D$42,ROW('03.Muestra'!$F$8:$F$42)-MIN(ROW('03.Muestra'!$D$8:$D$42))+1,""),ROW()-132)),"")</f>
        <v/>
      </c>
      <c r="D139" s="99" t="str">
        <f t="shared" ref="D139:D167" si="7">IF(AND(B139&lt;&gt;"",C139&lt;&gt;""),"N/T","")</f>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172" t="s">
        <v>138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https://www.comunidad.madrid/pjus_sede/</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https://www.comunidad.madrid/pjus_sede/node/35</v>
      </c>
      <c r="D172" s="99" t="s">
        <v>106</v>
      </c>
      <c r="E172" s="79" t="str">
        <f t="shared" si="8"/>
        <v/>
      </c>
      <c r="F172" s="91">
        <f ca="1">COUNTIF($D171:INDIRECT("$D" &amp;  SUM(ROW()-1,'03.Muestra'!$D$45)-1),F171)</f>
        <v>0</v>
      </c>
      <c r="G172" s="91">
        <f ca="1">COUNTIF($D171:INDIRECT("$D" &amp;  SUM(ROW()-1,'03.Muestra'!$D$45)-1),G171)</f>
        <v>0</v>
      </c>
      <c r="H172" s="91">
        <f ca="1">COUNTIF($D171:INDIRECT("$D" &amp;  SUM(ROW()-1,'03.Muestra'!$D$45)-1),H171)</f>
        <v>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Conozca la sede</v>
      </c>
      <c r="C173" s="85" t="str" cm="1">
        <f t="array" ref="C173">IFERROR(INDEX('03.Muestra'!$F$8:$F$42,SMALL(IF("Página Web"='03.Muestra'!$D$8:$D$42,ROW('03.Muestra'!$F$8:$F$42)-MIN(ROW('03.Muestra'!$D$8:$D$42))+1,""),ROW()-170)),"")</f>
        <v>https://www.comunidad.madrid/pjus_sede/conozcalasede</v>
      </c>
      <c r="D173" s="99" t="s">
        <v>106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Tramites y servicios</v>
      </c>
      <c r="C174" s="85" t="str" cm="1">
        <f t="array" ref="C174">IFERROR(INDEX('03.Muestra'!$F$8:$F$42,SMALL(IF("Página Web"='03.Muestra'!$D$8:$D$42,ROW('03.Muestra'!$F$8:$F$42)-MIN(ROW('03.Muestra'!$D$8:$D$42))+1,""),ROW()-170)),"")</f>
        <v>https://www.comunidad.madrid/pjus_sede/tramitesyservicios</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Ayuda</v>
      </c>
      <c r="C175" s="85" t="str" cm="1">
        <f t="array" ref="C175">IFERROR(INDEX('03.Muestra'!$F$8:$F$42,SMALL(IF("Página Web"='03.Muestra'!$D$8:$D$42,ROW('03.Muestra'!$F$8:$F$42)-MIN(ROW('03.Muestra'!$D$8:$D$42))+1,""),ROW()-170)),"")</f>
        <v>https://www.comunidad.madrid/pjus_sede/ayuda</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Resultados de búsqueda</v>
      </c>
      <c r="C176" s="85" t="str" cm="1">
        <f t="array" ref="C176">IFERROR(INDEX('03.Muestra'!$F$8:$F$42,SMALL(IF("Página Web"='03.Muestra'!$D$8:$D$42,ROW('03.Muestra'!$F$8:$F$42)-MIN(ROW('03.Muestra'!$D$8:$D$42))+1,""),ROW()-170)),"")</f>
        <v>https://www.comunidad.madrid/pjus_sede/search/node/sugerencias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IFERROR(INDEX('03.Muestra'!$B$8:$B$42,SMALL(IF("Página Web"='03.Muestra'!$D$8:$D$42,ROW('03.Muestra'!$B$8:$B$42)-MIN(ROW('03.Muestra'!$D$8:$D$42))+1,""),ROW()-170)),"")</f>
        <v/>
      </c>
      <c r="B177" s="85" t="str" cm="1">
        <f t="array" ref="B177">IFERROR(INDEX('03.Muestra'!$C$8:$C$42,SMALL(IF("Página Web"='03.Muestra'!$D$8:$D$42,ROW('03.Muestra'!$C$8:$C$42)-MIN(ROW('03.Muestra'!$D$8:$D$42))+1,""),ROW()-170)),"")</f>
        <v/>
      </c>
      <c r="C177" s="85" t="str" cm="1">
        <f t="array" ref="C177">IFERROR(INDEX('03.Muestra'!$F$8:$F$42,SMALL(IF("Página Web"='03.Muestra'!$D$8:$D$42,ROW('03.Muestra'!$F$8:$F$42)-MIN(ROW('03.Muestra'!$D$8:$D$42))+1,""),ROW()-170)),"")</f>
        <v/>
      </c>
      <c r="D177" s="99" t="str">
        <f t="shared" ref="D177:D205" si="9">IF(AND(B177&lt;&gt;"",C177&lt;&gt;""),"N/T","")</f>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139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https://www.comunidad.madrid/pjus_sede/</v>
      </c>
      <c r="D209" s="99" t="s">
        <v>106</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https://www.comunidad.madrid/pjus_sede/node/35</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Conozca la sede</v>
      </c>
      <c r="C211" s="85" t="str" cm="1">
        <f t="array" ref="C211">IFERROR(INDEX('03.Muestra'!$F$8:$F$42,SMALL(IF("Página Web"='03.Muestra'!$D$8:$D$42,ROW('03.Muestra'!$F$8:$F$42)-MIN(ROW('03.Muestra'!$D$8:$D$42))+1,""),ROW()-208)),"")</f>
        <v>https://www.comunidad.madrid/pjus_sede/conozcalasede</v>
      </c>
      <c r="D211" s="99" t="s">
        <v>106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Tramites y servicios</v>
      </c>
      <c r="C212" s="85" t="str" cm="1">
        <f t="array" ref="C212">IFERROR(INDEX('03.Muestra'!$F$8:$F$42,SMALL(IF("Página Web"='03.Muestra'!$D$8:$D$42,ROW('03.Muestra'!$F$8:$F$42)-MIN(ROW('03.Muestra'!$D$8:$D$42))+1,""),ROW()-208)),"")</f>
        <v>https://www.comunidad.madrid/pjus_sede/tramitesyservicios</v>
      </c>
      <c r="D212" s="99" t="s">
        <v>106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Ayuda</v>
      </c>
      <c r="C213" s="85" t="str" cm="1">
        <f t="array" ref="C213">IFERROR(INDEX('03.Muestra'!$F$8:$F$42,SMALL(IF("Página Web"='03.Muestra'!$D$8:$D$42,ROW('03.Muestra'!$F$8:$F$42)-MIN(ROW('03.Muestra'!$D$8:$D$42))+1,""),ROW()-208)),"")</f>
        <v>https://www.comunidad.madrid/pjus_sede/ayuda</v>
      </c>
      <c r="D213" s="99" t="s">
        <v>106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Resultados de búsqueda</v>
      </c>
      <c r="C214" s="85" t="str" cm="1">
        <f t="array" ref="C214">IFERROR(INDEX('03.Muestra'!$F$8:$F$42,SMALL(IF("Página Web"='03.Muestra'!$D$8:$D$42,ROW('03.Muestra'!$F$8:$F$42)-MIN(ROW('03.Muestra'!$D$8:$D$42))+1,""),ROW()-208)),"")</f>
        <v>https://www.comunidad.madrid/pjus_sede/search/node/sugerencias</v>
      </c>
      <c r="D214" s="99" t="s">
        <v>106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IFERROR(INDEX('03.Muestra'!$B$8:$B$42,SMALL(IF("Página Web"='03.Muestra'!$D$8:$D$42,ROW('03.Muestra'!$B$8:$B$42)-MIN(ROW('03.Muestra'!$D$8:$D$42))+1,""),ROW()-208)),"")</f>
        <v/>
      </c>
      <c r="B215" s="85" t="str" cm="1">
        <f t="array" ref="B215">IFERROR(INDEX('03.Muestra'!$C$8:$C$42,SMALL(IF("Página Web"='03.Muestra'!$D$8:$D$42,ROW('03.Muestra'!$C$8:$C$42)-MIN(ROW('03.Muestra'!$D$8:$D$42))+1,""),ROW()-208)),"")</f>
        <v/>
      </c>
      <c r="C215" s="85" t="str" cm="1">
        <f t="array" ref="C215">IFERROR(INDEX('03.Muestra'!$F$8:$F$42,SMALL(IF("Página Web"='03.Muestra'!$D$8:$D$42,ROW('03.Muestra'!$F$8:$F$42)-MIN(ROW('03.Muestra'!$D$8:$D$42))+1,""),ROW()-208)),"")</f>
        <v/>
      </c>
      <c r="D215" s="99" t="str">
        <f t="shared" ref="D215:D243" si="11">IF(AND(B215&lt;&gt;"",C215&lt;&gt;""),"N/T","")</f>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140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https://www.comunidad.madrid/pjus_sede/</v>
      </c>
      <c r="D247" s="99" t="s">
        <v>106</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https://www.comunidad.madrid/pjus_sede/node/35</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6</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Conozca la sede</v>
      </c>
      <c r="C249" s="85" t="str" cm="1">
        <f t="array" ref="C249">IFERROR(INDEX('03.Muestra'!$F$8:$F$42,SMALL(IF("Página Web"='03.Muestra'!$D$8:$D$42,ROW('03.Muestra'!$F$8:$F$42)-MIN(ROW('03.Muestra'!$D$8:$D$42))+1,""),ROW()-246)),"")</f>
        <v>https://www.comunidad.madrid/pjus_sede/conozcalasede</v>
      </c>
      <c r="D249" s="99" t="s">
        <v>106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Tramites y servicios</v>
      </c>
      <c r="C250" s="85" t="str" cm="1">
        <f t="array" ref="C250">IFERROR(INDEX('03.Muestra'!$F$8:$F$42,SMALL(IF("Página Web"='03.Muestra'!$D$8:$D$42,ROW('03.Muestra'!$F$8:$F$42)-MIN(ROW('03.Muestra'!$D$8:$D$42))+1,""),ROW()-246)),"")</f>
        <v>https://www.comunidad.madrid/pjus_sede/tramitesyservicios</v>
      </c>
      <c r="D250" s="99" t="s">
        <v>106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Ayuda</v>
      </c>
      <c r="C251" s="85" t="str" cm="1">
        <f t="array" ref="C251">IFERROR(INDEX('03.Muestra'!$F$8:$F$42,SMALL(IF("Página Web"='03.Muestra'!$D$8:$D$42,ROW('03.Muestra'!$F$8:$F$42)-MIN(ROW('03.Muestra'!$D$8:$D$42))+1,""),ROW()-246)),"")</f>
        <v>https://www.comunidad.madrid/pjus_sede/ayuda</v>
      </c>
      <c r="D251" s="99" t="s">
        <v>106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Resultados de búsqueda</v>
      </c>
      <c r="C252" s="85" t="str" cm="1">
        <f t="array" ref="C252">IFERROR(INDEX('03.Muestra'!$F$8:$F$42,SMALL(IF("Página Web"='03.Muestra'!$D$8:$D$42,ROW('03.Muestra'!$F$8:$F$42)-MIN(ROW('03.Muestra'!$D$8:$D$42))+1,""),ROW()-246)),"")</f>
        <v>https://www.comunidad.madrid/pjus_sede/search/node/sugerencias</v>
      </c>
      <c r="D252" s="99" t="s">
        <v>106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IFERROR(INDEX('03.Muestra'!$B$8:$B$42,SMALL(IF("Página Web"='03.Muestra'!$D$8:$D$42,ROW('03.Muestra'!$B$8:$B$42)-MIN(ROW('03.Muestra'!$D$8:$D$42))+1,""),ROW()-246)),"")</f>
        <v/>
      </c>
      <c r="B253" s="85" t="str" cm="1">
        <f t="array" ref="B253">IFERROR(INDEX('03.Muestra'!$C$8:$C$42,SMALL(IF("Página Web"='03.Muestra'!$D$8:$D$42,ROW('03.Muestra'!$C$8:$C$42)-MIN(ROW('03.Muestra'!$D$8:$D$42))+1,""),ROW()-246)),"")</f>
        <v/>
      </c>
      <c r="C253" s="85" t="str" cm="1">
        <f t="array" ref="C253">IFERROR(INDEX('03.Muestra'!$F$8:$F$42,SMALL(IF("Página Web"='03.Muestra'!$D$8:$D$42,ROW('03.Muestra'!$F$8:$F$42)-MIN(ROW('03.Muestra'!$D$8:$D$42))+1,""),ROW()-246)),"")</f>
        <v/>
      </c>
      <c r="D253" s="99" t="str">
        <f t="shared" ref="D253:D281" si="13">IF(AND(B253&lt;&gt;"",C253&lt;&gt;""),"N/T","")</f>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141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https://www.comunidad.madrid/pjus_sede/</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https://www.comunidad.madrid/pjus_sede/node/35</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6</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Conozca la sede</v>
      </c>
      <c r="C287" s="85" t="str" cm="1">
        <f t="array" ref="C287">IFERROR(INDEX('03.Muestra'!$F$8:$F$42,SMALL(IF("Página Web"='03.Muestra'!$D$8:$D$42,ROW('03.Muestra'!$F$8:$F$42)-MIN(ROW('03.Muestra'!$D$8:$D$42))+1,""),ROW()-284)),"")</f>
        <v>https://www.comunidad.madrid/pjus_sede/conozcalasede</v>
      </c>
      <c r="D287" s="99" t="s">
        <v>106</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Tramites y servicios</v>
      </c>
      <c r="C288" s="85" t="str" cm="1">
        <f t="array" ref="C288">IFERROR(INDEX('03.Muestra'!$F$8:$F$42,SMALL(IF("Página Web"='03.Muestra'!$D$8:$D$42,ROW('03.Muestra'!$F$8:$F$42)-MIN(ROW('03.Muestra'!$D$8:$D$42))+1,""),ROW()-284)),"")</f>
        <v>https://www.comunidad.madrid/pjus_sede/tramitesyservicios</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Ayuda</v>
      </c>
      <c r="C289" s="85" t="str" cm="1">
        <f t="array" ref="C289">IFERROR(INDEX('03.Muestra'!$F$8:$F$42,SMALL(IF("Página Web"='03.Muestra'!$D$8:$D$42,ROW('03.Muestra'!$F$8:$F$42)-MIN(ROW('03.Muestra'!$D$8:$D$42))+1,""),ROW()-284)),"")</f>
        <v>https://www.comunidad.madrid/pjus_sede/ayuda</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Resultados de búsqueda</v>
      </c>
      <c r="C290" s="85" t="str" cm="1">
        <f t="array" ref="C290">IFERROR(INDEX('03.Muestra'!$F$8:$F$42,SMALL(IF("Página Web"='03.Muestra'!$D$8:$D$42,ROW('03.Muestra'!$F$8:$F$42)-MIN(ROW('03.Muestra'!$D$8:$D$42))+1,""),ROW()-284)),"")</f>
        <v>https://www.comunidad.madrid/pjus_sede/search/node/sugerencias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IFERROR(INDEX('03.Muestra'!$B$8:$B$42,SMALL(IF("Página Web"='03.Muestra'!$D$8:$D$42,ROW('03.Muestra'!$B$8:$B$42)-MIN(ROW('03.Muestra'!$D$8:$D$42))+1,""),ROW()-284)),"")</f>
        <v/>
      </c>
      <c r="B291" s="85" t="str" cm="1">
        <f t="array" ref="B291">IFERROR(INDEX('03.Muestra'!$C$8:$C$42,SMALL(IF("Página Web"='03.Muestra'!$D$8:$D$42,ROW('03.Muestra'!$C$8:$C$42)-MIN(ROW('03.Muestra'!$D$8:$D$42))+1,""),ROW()-284)),"")</f>
        <v/>
      </c>
      <c r="C291" s="85" t="str" cm="1">
        <f t="array" ref="C291">IFERROR(INDEX('03.Muestra'!$F$8:$F$42,SMALL(IF("Página Web"='03.Muestra'!$D$8:$D$42,ROW('03.Muestra'!$F$8:$F$42)-MIN(ROW('03.Muestra'!$D$8:$D$42))+1,""),ROW()-284)),"")</f>
        <v/>
      </c>
      <c r="D291" s="99" t="str">
        <f t="shared" ref="D291:D319" si="15">IF(AND(B291&lt;&gt;"",C291&lt;&gt;""),"N/T","")</f>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142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https://www.comunidad.madrid/pjus_sede/</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https://www.comunidad.madrid/pjus_sede/node/35</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Conozca la sede</v>
      </c>
      <c r="C325" s="85" t="str" cm="1">
        <f t="array" ref="C325">IFERROR(INDEX('03.Muestra'!$F$8:$F$42,SMALL(IF("Página Web"='03.Muestra'!$D$8:$D$42,ROW('03.Muestra'!$F$8:$F$42)-MIN(ROW('03.Muestra'!$D$8:$D$42))+1,""),ROW()-322)),"")</f>
        <v>https://www.comunidad.madrid/pjus_sede/conozcalasede</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Tramites y servicios</v>
      </c>
      <c r="C326" s="85" t="str" cm="1">
        <f t="array" ref="C326">IFERROR(INDEX('03.Muestra'!$F$8:$F$42,SMALL(IF("Página Web"='03.Muestra'!$D$8:$D$42,ROW('03.Muestra'!$F$8:$F$42)-MIN(ROW('03.Muestra'!$D$8:$D$42))+1,""),ROW()-322)),"")</f>
        <v>https://www.comunidad.madrid/pjus_sede/tramitesyservicios</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Ayuda</v>
      </c>
      <c r="C327" s="85" t="str" cm="1">
        <f t="array" ref="C327">IFERROR(INDEX('03.Muestra'!$F$8:$F$42,SMALL(IF("Página Web"='03.Muestra'!$D$8:$D$42,ROW('03.Muestra'!$F$8:$F$42)-MIN(ROW('03.Muestra'!$D$8:$D$42))+1,""),ROW()-322)),"")</f>
        <v>https://www.comunidad.madrid/pjus_sede/ayuda</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Resultados de búsqueda</v>
      </c>
      <c r="C328" s="85" t="str" cm="1">
        <f t="array" ref="C328">IFERROR(INDEX('03.Muestra'!$F$8:$F$42,SMALL(IF("Página Web"='03.Muestra'!$D$8:$D$42,ROW('03.Muestra'!$F$8:$F$42)-MIN(ROW('03.Muestra'!$D$8:$D$42))+1,""),ROW()-322)),"")</f>
        <v>https://www.comunidad.madrid/pjus_sede/search/node/sugerencias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IFERROR(INDEX('03.Muestra'!$B$8:$B$42,SMALL(IF("Página Web"='03.Muestra'!$D$8:$D$42,ROW('03.Muestra'!$B$8:$B$42)-MIN(ROW('03.Muestra'!$D$8:$D$42))+1,""),ROW()-322)),"")</f>
        <v/>
      </c>
      <c r="B329" s="85" t="str" cm="1">
        <f t="array" ref="B329">IFERROR(INDEX('03.Muestra'!$C$8:$C$42,SMALL(IF("Página Web"='03.Muestra'!$D$8:$D$42,ROW('03.Muestra'!$C$8:$C$42)-MIN(ROW('03.Muestra'!$D$8:$D$42))+1,""),ROW()-322)),"")</f>
        <v/>
      </c>
      <c r="C329" s="85" t="str" cm="1">
        <f t="array" ref="C329">IFERROR(INDEX('03.Muestra'!$F$8:$F$42,SMALL(IF("Página Web"='03.Muestra'!$D$8:$D$42,ROW('03.Muestra'!$F$8:$F$42)-MIN(ROW('03.Muestra'!$D$8:$D$42))+1,""),ROW()-322)),"")</f>
        <v/>
      </c>
      <c r="D329" s="99" t="str">
        <f t="shared" ref="D329:D357" si="17">IF(AND(B329&lt;&gt;"",C329&lt;&gt;""),"N/T","")</f>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abSelected="1" topLeftCell="A229" zoomScale="90" zoomScaleNormal="90" workbookViewId="0">
      <selection activeCell="D220" sqref="D22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COUNTIF($B$18:$B$3962,B12)</f>
        <v>50</v>
      </c>
      <c r="D12" s="26"/>
      <c r="E12" s="14"/>
      <c r="F12" s="199" t="s">
        <v>94</v>
      </c>
      <c r="G12" s="72">
        <f ca="1">J20+J58+J96+J134+J172+J210+J248+J286+J324+J362+J400+J438+J476+J514+J552+J590+J628+J666+J704+J742+J780+J818+J856+J894+J932+J970+J1008+J1046+J1084+J1122+J1160+J1198+J1236+J1274+J1312+J1350+J1388+J1426+J1464+J1502+J1540+J1578+J1616+J1654+J1692+J1730+J1768+J1806+J1844+J1882</f>
        <v>122</v>
      </c>
      <c r="H12" s="42">
        <f ca="1">IF(($G$15+$K$15)=0,0,G12/($G$15+$K$15))</f>
        <v>0.40666666666666668</v>
      </c>
      <c r="I12" s="26"/>
      <c r="J12" s="183" t="s">
        <v>95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I20+I58+I96+I134+I172+I210+I248+I286+I324+I362+I400+I438+I476+I514+I552+I590+I628+I666+I704+I742+I780+I818+I856+I894+I932+I970+I1008+I1046+I1084+I1122+I1160+I1198+I1236+I1274+I1312+I1350+I1388+I1426+I1464+I1502+I1540+I1578+I1616+I1654+I1692+I1730+I1768+I1806+I1844+I1882</f>
        <v>35</v>
      </c>
      <c r="H13" s="42">
        <f ca="1">IF(($G$15+$K$15)=0,0,G13/($G$15+$K$15))</f>
        <v>0.11666666666666667</v>
      </c>
      <c r="I13" s="26"/>
      <c r="J13" s="183" t="s">
        <v>97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98</v>
      </c>
      <c r="C14" s="201">
        <f>C12+C13</f>
        <v>50</v>
      </c>
      <c r="D14" s="26"/>
      <c r="E14" s="14"/>
      <c r="F14" s="199" t="s">
        <v>99</v>
      </c>
      <c r="G14" s="72">
        <f ca="1">H20+H58+H96+H134+H172+H210+H248+H286+H324+H362+H400+H438+H476+H514+H552+H590+H628+H666+H704+H742+H780+H818+H856+H894+H932+H970+H1008+H1046+H1084+H1122+H1160+H1198+H1236+H1274+H1312+H1350+H1388+H1426+H1464+H1502+H1540+H1578+H1616+H1654+H1692+H1730+H1768+H1806+H1844+H1882</f>
        <v>143</v>
      </c>
      <c r="H14" s="42">
        <f ca="1">IF(($G$15+$K$15)=0,0,G14/($G$15+$K$15))</f>
        <v>0.47666666666666668</v>
      </c>
      <c r="I14" s="26"/>
      <c r="J14" s="183" t="s">
        <v>100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300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144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https://www.comunidad.madrid/pjus_sede/</v>
      </c>
      <c r="D19" s="99" t="s">
        <v>96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https://www.comunidad.madrid/pjus_sede/node/35</v>
      </c>
      <c r="D20" s="99" t="s">
        <v>96</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6</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Conozca la sede</v>
      </c>
      <c r="C21" s="85" t="str" cm="1">
        <f t="array" ref="C21">IFERROR(INDEX('03.Muestra'!$F$8:$F$42,SMALL(IF("Página Web"='03.Muestra'!$D$8:$D$42,ROW('03.Muestra'!$F$8:$F$42)-MIN(ROW('03.Muestra'!$D$8:$D$42))+1,""),ROW()-18)),"")</f>
        <v>https://www.comunidad.madrid/pjus_sede/conozcalasede</v>
      </c>
      <c r="D21" s="99" t="s">
        <v>96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Tramites y servicios</v>
      </c>
      <c r="C22" s="85" t="str" cm="1">
        <f t="array" ref="C22">IFERROR(INDEX('03.Muestra'!$F$8:$F$42,SMALL(IF("Página Web"='03.Muestra'!$D$8:$D$42,ROW('03.Muestra'!$F$8:$F$42)-MIN(ROW('03.Muestra'!$D$8:$D$42))+1,""),ROW()-18)),"")</f>
        <v>https://www.comunidad.madrid/pjus_sede/tramitesyservicios</v>
      </c>
      <c r="D22" s="99" t="s">
        <v>96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Ayuda</v>
      </c>
      <c r="C23" s="85" t="str" cm="1">
        <f t="array" ref="C23">IFERROR(INDEX('03.Muestra'!$F$8:$F$42,SMALL(IF("Página Web"='03.Muestra'!$D$8:$D$42,ROW('03.Muestra'!$F$8:$F$42)-MIN(ROW('03.Muestra'!$D$8:$D$42))+1,""),ROW()-18)),"")</f>
        <v>https://www.comunidad.madrid/pjus_sede/ayuda</v>
      </c>
      <c r="D23" s="99" t="s">
        <v>96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Resultados de búsqueda</v>
      </c>
      <c r="C24" s="85" t="str" cm="1">
        <f t="array" ref="C24">IFERROR(INDEX('03.Muestra'!$F$8:$F$42,SMALL(IF("Página Web"='03.Muestra'!$D$8:$D$42,ROW('03.Muestra'!$F$8:$F$42)-MIN(ROW('03.Muestra'!$D$8:$D$42))+1,""),ROW()-18)),"")</f>
        <v>https://www.comunidad.madrid/pjus_sede/search/node/sugerencias</v>
      </c>
      <c r="D24" s="99" t="s">
        <v>96</v>
      </c>
      <c r="E24" s="79" t="str">
        <f t="shared" si="0"/>
        <v/>
      </c>
      <c r="F24" s="18"/>
      <c r="G24" s="18"/>
      <c r="H24" s="18"/>
      <c r="I24" s="18"/>
      <c r="K24" s="87" t="s">
        <v>105</v>
      </c>
      <c r="L24" s="92" t="s">
        <v>109</v>
      </c>
      <c r="AD24" s="18"/>
    </row>
    <row r="25" spans="1:30" ht="12" customHeight="1">
      <c r="A25" s="39" t="str" cm="1">
        <f t="array" ref="A25">IFERROR(INDEX('03.Muestra'!$B$8:$B$42,SMALL(IF("Página Web"='03.Muestra'!$D$8:$D$42,ROW('03.Muestra'!$B$8:$B$42)-MIN(ROW('03.Muestra'!$D$8:$D$42))+1,""),ROW()-18)),"")</f>
        <v/>
      </c>
      <c r="B25" s="85" t="str" cm="1">
        <f t="array" ref="B25">IFERROR(INDEX('03.Muestra'!$C$8:$C$42,SMALL(IF("Página Web"='03.Muestra'!$D$8:$D$42,ROW('03.Muestra'!$C$8:$C$42)-MIN(ROW('03.Muestra'!$D$8:$D$42))+1,""),ROW()-18)),"")</f>
        <v/>
      </c>
      <c r="C25" s="85" t="str" cm="1">
        <f t="array" ref="C25">IFERROR(INDEX('03.Muestra'!$F$8:$F$42,SMALL(IF("Página Web"='03.Muestra'!$D$8:$D$42,ROW('03.Muestra'!$F$8:$F$42)-MIN(ROW('03.Muestra'!$D$8:$D$42))+1,""),ROW()-18)),"")</f>
        <v/>
      </c>
      <c r="D25" s="99" t="str">
        <f t="shared" ref="D25:D53" si="1">IF(AND(B25&lt;&gt;"",C25&lt;&gt;""),"N/T","")</f>
        <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145</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https://www.comunidad.madrid/pjus_sede/</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https://www.comunidad.madrid/pjus_sede/node/35</v>
      </c>
      <c r="D58" s="99" t="s">
        <v>106</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Conozca la sede</v>
      </c>
      <c r="C59" s="85" t="str" cm="1">
        <f t="array" ref="C59">IFERROR(INDEX('03.Muestra'!$F$8:$F$42,SMALL(IF("Página Web"='03.Muestra'!$D$8:$D$42,ROW('03.Muestra'!$F$8:$F$42)-MIN(ROW('03.Muestra'!$D$8:$D$42))+1,""),ROW()-56)),"")</f>
        <v>https://www.comunidad.madrid/pjus_sede/conozcalasede</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Tramites y servicios</v>
      </c>
      <c r="C60" s="85" t="str" cm="1">
        <f t="array" ref="C60">IFERROR(INDEX('03.Muestra'!$F$8:$F$42,SMALL(IF("Página Web"='03.Muestra'!$D$8:$D$42,ROW('03.Muestra'!$F$8:$F$42)-MIN(ROW('03.Muestra'!$D$8:$D$42))+1,""),ROW()-56)),"")</f>
        <v>https://www.comunidad.madrid/pjus_sede/tramitesyservicios</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Ayuda</v>
      </c>
      <c r="C61" s="85" t="str" cm="1">
        <f t="array" ref="C61">IFERROR(INDEX('03.Muestra'!$F$8:$F$42,SMALL(IF("Página Web"='03.Muestra'!$D$8:$D$42,ROW('03.Muestra'!$F$8:$F$42)-MIN(ROW('03.Muestra'!$D$8:$D$42))+1,""),ROW()-56)),"")</f>
        <v>https://www.comunidad.madrid/pjus_sede/ayuda</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Resultados de búsqueda</v>
      </c>
      <c r="C62" s="85" t="str" cm="1">
        <f t="array" ref="C62">IFERROR(INDEX('03.Muestra'!$F$8:$F$42,SMALL(IF("Página Web"='03.Muestra'!$D$8:$D$42,ROW('03.Muestra'!$F$8:$F$42)-MIN(ROW('03.Muestra'!$D$8:$D$42))+1,""),ROW()-56)),"")</f>
        <v>https://www.comunidad.madrid/pjus_sede/search/node/sugerencias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IFERROR(INDEX('03.Muestra'!$B$8:$B$42,SMALL(IF("Página Web"='03.Muestra'!$D$8:$D$42,ROW('03.Muestra'!$B$8:$B$42)-MIN(ROW('03.Muestra'!$D$8:$D$42))+1,""),ROW()-56)),"")</f>
        <v/>
      </c>
      <c r="B63" s="85" t="str" cm="1">
        <f t="array" ref="B63">IFERROR(INDEX('03.Muestra'!$C$8:$C$42,SMALL(IF("Página Web"='03.Muestra'!$D$8:$D$42,ROW('03.Muestra'!$C$8:$C$42)-MIN(ROW('03.Muestra'!$D$8:$D$42))+1,""),ROW()-56)),"")</f>
        <v/>
      </c>
      <c r="C63" s="85" t="str" cm="1">
        <f t="array" ref="C63">IFERROR(INDEX('03.Muestra'!$F$8:$F$42,SMALL(IF("Página Web"='03.Muestra'!$D$8:$D$42,ROW('03.Muestra'!$F$8:$F$42)-MIN(ROW('03.Muestra'!$D$8:$D$42))+1,""),ROW()-56)),"")</f>
        <v/>
      </c>
      <c r="D63" s="99" t="str">
        <f t="shared" ref="D63:D91" si="3">IF(AND(B63&lt;&gt;"",C63&lt;&gt;""),"N/T","")</f>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146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https://www.comunidad.madrid/pjus_sede/</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https://www.comunidad.madrid/pjus_sede/node/35</v>
      </c>
      <c r="D96" s="99" t="s">
        <v>106</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Conozca la sede</v>
      </c>
      <c r="C97" s="85" t="str" cm="1">
        <f t="array" ref="C97">IFERROR(INDEX('03.Muestra'!$F$8:$F$42,SMALL(IF("Página Web"='03.Muestra'!$D$8:$D$42,ROW('03.Muestra'!$F$8:$F$42)-MIN(ROW('03.Muestra'!$D$8:$D$42))+1,""),ROW()-94)),"")</f>
        <v>https://www.comunidad.madrid/pjus_sede/conozcalasede</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Tramites y servicios</v>
      </c>
      <c r="C98" s="85" t="str" cm="1">
        <f t="array" ref="C98">IFERROR(INDEX('03.Muestra'!$F$8:$F$42,SMALL(IF("Página Web"='03.Muestra'!$D$8:$D$42,ROW('03.Muestra'!$F$8:$F$42)-MIN(ROW('03.Muestra'!$D$8:$D$42))+1,""),ROW()-94)),"")</f>
        <v>https://www.comunidad.madrid/pjus_sede/tramitesyservicios</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Ayuda</v>
      </c>
      <c r="C99" s="85" t="str" cm="1">
        <f t="array" ref="C99">IFERROR(INDEX('03.Muestra'!$F$8:$F$42,SMALL(IF("Página Web"='03.Muestra'!$D$8:$D$42,ROW('03.Muestra'!$F$8:$F$42)-MIN(ROW('03.Muestra'!$D$8:$D$42))+1,""),ROW()-94)),"")</f>
        <v>https://www.comunidad.madrid/pjus_sede/ayuda</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Resultados de búsqueda</v>
      </c>
      <c r="C100" s="85" t="str" cm="1">
        <f t="array" ref="C100">IFERROR(INDEX('03.Muestra'!$F$8:$F$42,SMALL(IF("Página Web"='03.Muestra'!$D$8:$D$42,ROW('03.Muestra'!$F$8:$F$42)-MIN(ROW('03.Muestra'!$D$8:$D$42))+1,""),ROW()-94)),"")</f>
        <v>https://www.comunidad.madrid/pjus_sede/search/node/sugerencias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IFERROR(INDEX('03.Muestra'!$B$8:$B$42,SMALL(IF("Página Web"='03.Muestra'!$D$8:$D$42,ROW('03.Muestra'!$B$8:$B$42)-MIN(ROW('03.Muestra'!$D$8:$D$42))+1,""),ROW()-94)),"")</f>
        <v/>
      </c>
      <c r="B101" s="85" t="str" cm="1">
        <f t="array" ref="B101">IFERROR(INDEX('03.Muestra'!$C$8:$C$42,SMALL(IF("Página Web"='03.Muestra'!$D$8:$D$42,ROW('03.Muestra'!$C$8:$C$42)-MIN(ROW('03.Muestra'!$D$8:$D$42))+1,""),ROW()-94)),"")</f>
        <v/>
      </c>
      <c r="C101" s="85" t="str" cm="1">
        <f t="array" ref="C101">IFERROR(INDEX('03.Muestra'!$F$8:$F$42,SMALL(IF("Página Web"='03.Muestra'!$D$8:$D$42,ROW('03.Muestra'!$F$8:$F$42)-MIN(ROW('03.Muestra'!$D$8:$D$42))+1,""),ROW()-94)),"")</f>
        <v/>
      </c>
      <c r="D101" s="99" t="str">
        <f t="shared" ref="D101:D129" si="5">IF(AND(B101&lt;&gt;"",C101&lt;&gt;""),"N/T","")</f>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147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https://www.comunidad.madrid/pjus_sede/</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https://www.comunidad.madrid/pjus_sede/node/35</v>
      </c>
      <c r="D134" s="99" t="s">
        <v>106</v>
      </c>
      <c r="E134" s="79" t="str">
        <f t="shared" si="6"/>
        <v/>
      </c>
      <c r="F134" s="91">
        <f ca="1">COUNTIF($D133:INDIRECT("$D" &amp;  SUM(ROW()-1,'03.Muestra'!$D$45)-1),F133)</f>
        <v>0</v>
      </c>
      <c r="G134" s="91">
        <f ca="1">COUNTIF($D133:INDIRECT("$D" &amp;  SUM(ROW()-1,'03.Muestra'!$D$45)-1),G133)</f>
        <v>0</v>
      </c>
      <c r="H134" s="91">
        <f ca="1">COUNTIF($D133:INDIRECT("$D" &amp;  SUM(ROW()-1,'03.Muestra'!$D$45)-1),H133)</f>
        <v>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Conozca la sede</v>
      </c>
      <c r="C135" s="85" t="str" cm="1">
        <f t="array" ref="C135">IFERROR(INDEX('03.Muestra'!$F$8:$F$42,SMALL(IF("Página Web"='03.Muestra'!$D$8:$D$42,ROW('03.Muestra'!$F$8:$F$42)-MIN(ROW('03.Muestra'!$D$8:$D$42))+1,""),ROW()-132)),"")</f>
        <v>https://www.comunidad.madrid/pjus_sede/conozcalasede</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Tramites y servicios</v>
      </c>
      <c r="C136" s="85" t="str" cm="1">
        <f t="array" ref="C136">IFERROR(INDEX('03.Muestra'!$F$8:$F$42,SMALL(IF("Página Web"='03.Muestra'!$D$8:$D$42,ROW('03.Muestra'!$F$8:$F$42)-MIN(ROW('03.Muestra'!$D$8:$D$42))+1,""),ROW()-132)),"")</f>
        <v>https://www.comunidad.madrid/pjus_sede/tramitesyservicios</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Ayuda</v>
      </c>
      <c r="C137" s="85" t="str" cm="1">
        <f t="array" ref="C137">IFERROR(INDEX('03.Muestra'!$F$8:$F$42,SMALL(IF("Página Web"='03.Muestra'!$D$8:$D$42,ROW('03.Muestra'!$F$8:$F$42)-MIN(ROW('03.Muestra'!$D$8:$D$42))+1,""),ROW()-132)),"")</f>
        <v>https://www.comunidad.madrid/pjus_sede/ayuda</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Resultados de búsqueda</v>
      </c>
      <c r="C138" s="85" t="str" cm="1">
        <f t="array" ref="C138">IFERROR(INDEX('03.Muestra'!$F$8:$F$42,SMALL(IF("Página Web"='03.Muestra'!$D$8:$D$42,ROW('03.Muestra'!$F$8:$F$42)-MIN(ROW('03.Muestra'!$D$8:$D$42))+1,""),ROW()-132)),"")</f>
        <v>https://www.comunidad.madrid/pjus_sede/search/node/sugerencias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IFERROR(INDEX('03.Muestra'!$B$8:$B$42,SMALL(IF("Página Web"='03.Muestra'!$D$8:$D$42,ROW('03.Muestra'!$B$8:$B$42)-MIN(ROW('03.Muestra'!$D$8:$D$42))+1,""),ROW()-132)),"")</f>
        <v/>
      </c>
      <c r="B139" s="85" t="str" cm="1">
        <f t="array" ref="B139">IFERROR(INDEX('03.Muestra'!$C$8:$C$42,SMALL(IF("Página Web"='03.Muestra'!$D$8:$D$42,ROW('03.Muestra'!$C$8:$C$42)-MIN(ROW('03.Muestra'!$D$8:$D$42))+1,""),ROW()-132)),"")</f>
        <v/>
      </c>
      <c r="C139" s="85" t="str" cm="1">
        <f t="array" ref="C139">IFERROR(INDEX('03.Muestra'!$F$8:$F$42,SMALL(IF("Página Web"='03.Muestra'!$D$8:$D$42,ROW('03.Muestra'!$F$8:$F$42)-MIN(ROW('03.Muestra'!$D$8:$D$42))+1,""),ROW()-132)),"")</f>
        <v/>
      </c>
      <c r="D139" s="99" t="str">
        <f t="shared" ref="D139:D167" si="7">IF(AND(B139&lt;&gt;"",C139&lt;&gt;""),"N/T","")</f>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148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https://www.comunidad.madrid/pjus_sede/</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https://www.comunidad.madrid/pjus_sede/node/35</v>
      </c>
      <c r="D172" s="99" t="s">
        <v>106</v>
      </c>
      <c r="E172" s="79" t="str">
        <f t="shared" si="8"/>
        <v/>
      </c>
      <c r="F172" s="91">
        <f ca="1">COUNTIF($D171:INDIRECT("$D" &amp;  SUM(ROW()-1,'03.Muestra'!$D$45)-1),F171)</f>
        <v>0</v>
      </c>
      <c r="G172" s="91">
        <f ca="1">COUNTIF($D171:INDIRECT("$D" &amp;  SUM(ROW()-1,'03.Muestra'!$D$45)-1),G171)</f>
        <v>0</v>
      </c>
      <c r="H172" s="91">
        <f ca="1">COUNTIF($D171:INDIRECT("$D" &amp;  SUM(ROW()-1,'03.Muestra'!$D$45)-1),H171)</f>
        <v>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Conozca la sede</v>
      </c>
      <c r="C173" s="85" t="str" cm="1">
        <f t="array" ref="C173">IFERROR(INDEX('03.Muestra'!$F$8:$F$42,SMALL(IF("Página Web"='03.Muestra'!$D$8:$D$42,ROW('03.Muestra'!$F$8:$F$42)-MIN(ROW('03.Muestra'!$D$8:$D$42))+1,""),ROW()-170)),"")</f>
        <v>https://www.comunidad.madrid/pjus_sede/conozcalasede</v>
      </c>
      <c r="D173" s="99" t="s">
        <v>106</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Tramites y servicios</v>
      </c>
      <c r="C174" s="85" t="str" cm="1">
        <f t="array" ref="C174">IFERROR(INDEX('03.Muestra'!$F$8:$F$42,SMALL(IF("Página Web"='03.Muestra'!$D$8:$D$42,ROW('03.Muestra'!$F$8:$F$42)-MIN(ROW('03.Muestra'!$D$8:$D$42))+1,""),ROW()-170)),"")</f>
        <v>https://www.comunidad.madrid/pjus_sede/tramitesyservicios</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Ayuda</v>
      </c>
      <c r="C175" s="85" t="str" cm="1">
        <f t="array" ref="C175">IFERROR(INDEX('03.Muestra'!$F$8:$F$42,SMALL(IF("Página Web"='03.Muestra'!$D$8:$D$42,ROW('03.Muestra'!$F$8:$F$42)-MIN(ROW('03.Muestra'!$D$8:$D$42))+1,""),ROW()-170)),"")</f>
        <v>https://www.comunidad.madrid/pjus_sede/ayuda</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Resultados de búsqueda</v>
      </c>
      <c r="C176" s="85" t="str" cm="1">
        <f t="array" ref="C176">IFERROR(INDEX('03.Muestra'!$F$8:$F$42,SMALL(IF("Página Web"='03.Muestra'!$D$8:$D$42,ROW('03.Muestra'!$F$8:$F$42)-MIN(ROW('03.Muestra'!$D$8:$D$42))+1,""),ROW()-170)),"")</f>
        <v>https://www.comunidad.madrid/pjus_sede/search/node/sugerencias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IFERROR(INDEX('03.Muestra'!$B$8:$B$42,SMALL(IF("Página Web"='03.Muestra'!$D$8:$D$42,ROW('03.Muestra'!$B$8:$B$42)-MIN(ROW('03.Muestra'!$D$8:$D$42))+1,""),ROW()-170)),"")</f>
        <v/>
      </c>
      <c r="B177" s="85" t="str" cm="1">
        <f t="array" ref="B177">IFERROR(INDEX('03.Muestra'!$C$8:$C$42,SMALL(IF("Página Web"='03.Muestra'!$D$8:$D$42,ROW('03.Muestra'!$C$8:$C$42)-MIN(ROW('03.Muestra'!$D$8:$D$42))+1,""),ROW()-170)),"")</f>
        <v/>
      </c>
      <c r="C177" s="85" t="str" cm="1">
        <f t="array" ref="C177">IFERROR(INDEX('03.Muestra'!$F$8:$F$42,SMALL(IF("Página Web"='03.Muestra'!$D$8:$D$42,ROW('03.Muestra'!$F$8:$F$42)-MIN(ROW('03.Muestra'!$D$8:$D$42))+1,""),ROW()-170)),"")</f>
        <v/>
      </c>
      <c r="D177" s="99" t="str">
        <f t="shared" ref="D177:D205" si="9">IF(AND(B177&lt;&gt;"",C177&lt;&gt;""),"N/T","")</f>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101</v>
      </c>
      <c r="B208" s="23" t="s">
        <v>93</v>
      </c>
      <c r="C208" s="24" t="s">
        <v>149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https://www.comunidad.madrid/pjus_sede/</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https://www.comunidad.madrid/pjus_sede/node/35</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5</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Conozca la sede</v>
      </c>
      <c r="C211" s="85" t="str" cm="1">
        <f t="array" ref="C211">IFERROR(INDEX('03.Muestra'!$F$8:$F$42,SMALL(IF("Página Web"='03.Muestra'!$D$8:$D$42,ROW('03.Muestra'!$F$8:$F$42)-MIN(ROW('03.Muestra'!$D$8:$D$42))+1,""),ROW()-208)),"")</f>
        <v>https://www.comunidad.madrid/pjus_sede/conozcalasede</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Tramites y servicios</v>
      </c>
      <c r="C212" s="85" t="str" cm="1">
        <f t="array" ref="C212">IFERROR(INDEX('03.Muestra'!$F$8:$F$42,SMALL(IF("Página Web"='03.Muestra'!$D$8:$D$42,ROW('03.Muestra'!$F$8:$F$42)-MIN(ROW('03.Muestra'!$D$8:$D$42))+1,""),ROW()-208)),"")</f>
        <v>https://www.comunidad.madrid/pjus_sede/tramitesyservicios</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Ayuda</v>
      </c>
      <c r="C213" s="85" t="str" cm="1">
        <f t="array" ref="C213">IFERROR(INDEX('03.Muestra'!$F$8:$F$42,SMALL(IF("Página Web"='03.Muestra'!$D$8:$D$42,ROW('03.Muestra'!$F$8:$F$42)-MIN(ROW('03.Muestra'!$D$8:$D$42))+1,""),ROW()-208)),"")</f>
        <v>https://www.comunidad.madrid/pjus_sede/ayuda</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Resultados de búsqueda</v>
      </c>
      <c r="C214" s="85" t="str" cm="1">
        <f t="array" ref="C214">IFERROR(INDEX('03.Muestra'!$F$8:$F$42,SMALL(IF("Página Web"='03.Muestra'!$D$8:$D$42,ROW('03.Muestra'!$F$8:$F$42)-MIN(ROW('03.Muestra'!$D$8:$D$42))+1,""),ROW()-208)),"")</f>
        <v>https://www.comunidad.madrid/pjus_sede/search/node/sugerencias</v>
      </c>
      <c r="D214" s="99" t="s">
        <v>96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IFERROR(INDEX('03.Muestra'!$B$8:$B$42,SMALL(IF("Página Web"='03.Muestra'!$D$8:$D$42,ROW('03.Muestra'!$B$8:$B$42)-MIN(ROW('03.Muestra'!$D$8:$D$42))+1,""),ROW()-208)),"")</f>
        <v/>
      </c>
      <c r="B215" s="85" t="str" cm="1">
        <f t="array" ref="B215">IFERROR(INDEX('03.Muestra'!$C$8:$C$42,SMALL(IF("Página Web"='03.Muestra'!$D$8:$D$42,ROW('03.Muestra'!$C$8:$C$42)-MIN(ROW('03.Muestra'!$D$8:$D$42))+1,""),ROW()-208)),"")</f>
        <v/>
      </c>
      <c r="C215" s="85" t="str" cm="1">
        <f t="array" ref="C215">IFERROR(INDEX('03.Muestra'!$F$8:$F$42,SMALL(IF("Página Web"='03.Muestra'!$D$8:$D$42,ROW('03.Muestra'!$F$8:$F$42)-MIN(ROW('03.Muestra'!$D$8:$D$42))+1,""),ROW()-208)),"")</f>
        <v/>
      </c>
      <c r="D215" s="99" t="str">
        <f t="shared" ref="D215:D243" si="11">IF(AND(B215&lt;&gt;"",C215&lt;&gt;""),"N/T","")</f>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101</v>
      </c>
      <c r="B246" s="23" t="s">
        <v>93</v>
      </c>
      <c r="C246" s="24" t="s">
        <v>150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https://www.comunidad.madrid/pjus_sede/</v>
      </c>
      <c r="D247" s="99"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https://www.comunidad.madrid/pjus_sede/node/35</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Conozca la sede</v>
      </c>
      <c r="C249" s="85" t="str" cm="1">
        <f t="array" ref="C249">IFERROR(INDEX('03.Muestra'!$F$8:$F$42,SMALL(IF("Página Web"='03.Muestra'!$D$8:$D$42,ROW('03.Muestra'!$F$8:$F$42)-MIN(ROW('03.Muestra'!$D$8:$D$42))+1,""),ROW()-246)),"")</f>
        <v>https://www.comunidad.madrid/pjus_sede/conozcalasede</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Tramites y servicios</v>
      </c>
      <c r="C250" s="85" t="str" cm="1">
        <f t="array" ref="C250">IFERROR(INDEX('03.Muestra'!$F$8:$F$42,SMALL(IF("Página Web"='03.Muestra'!$D$8:$D$42,ROW('03.Muestra'!$F$8:$F$42)-MIN(ROW('03.Muestra'!$D$8:$D$42))+1,""),ROW()-246)),"")</f>
        <v>https://www.comunidad.madrid/pjus_sede/tramitesyservicios</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Ayuda</v>
      </c>
      <c r="C251" s="85" t="str" cm="1">
        <f t="array" ref="C251">IFERROR(INDEX('03.Muestra'!$F$8:$F$42,SMALL(IF("Página Web"='03.Muestra'!$D$8:$D$42,ROW('03.Muestra'!$F$8:$F$42)-MIN(ROW('03.Muestra'!$D$8:$D$42))+1,""),ROW()-246)),"")</f>
        <v>https://www.comunidad.madrid/pjus_sede/ayuda</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Resultados de búsqueda</v>
      </c>
      <c r="C252" s="85" t="str" cm="1">
        <f t="array" ref="C252">IFERROR(INDEX('03.Muestra'!$F$8:$F$42,SMALL(IF("Página Web"='03.Muestra'!$D$8:$D$42,ROW('03.Muestra'!$F$8:$F$42)-MIN(ROW('03.Muestra'!$D$8:$D$42))+1,""),ROW()-246)),"")</f>
        <v>https://www.comunidad.madrid/pjus_sede/search/node/sugerencias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IFERROR(INDEX('03.Muestra'!$B$8:$B$42,SMALL(IF("Página Web"='03.Muestra'!$D$8:$D$42,ROW('03.Muestra'!$B$8:$B$42)-MIN(ROW('03.Muestra'!$D$8:$D$42))+1,""),ROW()-246)),"")</f>
        <v/>
      </c>
      <c r="B253" s="85" t="str" cm="1">
        <f t="array" ref="B253">IFERROR(INDEX('03.Muestra'!$C$8:$C$42,SMALL(IF("Página Web"='03.Muestra'!$D$8:$D$42,ROW('03.Muestra'!$C$8:$C$42)-MIN(ROW('03.Muestra'!$D$8:$D$42))+1,""),ROW()-246)),"")</f>
        <v/>
      </c>
      <c r="C253" s="85" t="str" cm="1">
        <f t="array" ref="C253">IFERROR(INDEX('03.Muestra'!$F$8:$F$42,SMALL(IF("Página Web"='03.Muestra'!$D$8:$D$42,ROW('03.Muestra'!$F$8:$F$42)-MIN(ROW('03.Muestra'!$D$8:$D$42))+1,""),ROW()-246)),"")</f>
        <v/>
      </c>
      <c r="D253" s="99" t="str">
        <f t="shared" ref="D253:D281" si="13">IF(AND(B253&lt;&gt;"",C253&lt;&gt;""),"N/T","")</f>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101</v>
      </c>
      <c r="B284" s="23" t="s">
        <v>93</v>
      </c>
      <c r="C284" s="24" t="s">
        <v>151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https://www.comunidad.madrid/pjus_sede/</v>
      </c>
      <c r="D285" s="99" t="s">
        <v>94</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https://www.comunidad.madrid/pjus_sede/node/35</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6</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Conozca la sede</v>
      </c>
      <c r="C287" s="85" t="str" cm="1">
        <f t="array" ref="C287">IFERROR(INDEX('03.Muestra'!$F$8:$F$42,SMALL(IF("Página Web"='03.Muestra'!$D$8:$D$42,ROW('03.Muestra'!$F$8:$F$42)-MIN(ROW('03.Muestra'!$D$8:$D$42))+1,""),ROW()-284)),"")</f>
        <v>https://www.comunidad.madrid/pjus_sede/conozcalasede</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Tramites y servicios</v>
      </c>
      <c r="C288" s="85" t="str" cm="1">
        <f t="array" ref="C288">IFERROR(INDEX('03.Muestra'!$F$8:$F$42,SMALL(IF("Página Web"='03.Muestra'!$D$8:$D$42,ROW('03.Muestra'!$F$8:$F$42)-MIN(ROW('03.Muestra'!$D$8:$D$42))+1,""),ROW()-284)),"")</f>
        <v>https://www.comunidad.madrid/pjus_sede/tramitesyservicios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Ayuda</v>
      </c>
      <c r="C289" s="85" t="str" cm="1">
        <f t="array" ref="C289">IFERROR(INDEX('03.Muestra'!$F$8:$F$42,SMALL(IF("Página Web"='03.Muestra'!$D$8:$D$42,ROW('03.Muestra'!$F$8:$F$42)-MIN(ROW('03.Muestra'!$D$8:$D$42))+1,""),ROW()-284)),"")</f>
        <v>https://www.comunidad.madrid/pjus_sede/ayuda</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Resultados de búsqueda</v>
      </c>
      <c r="C290" s="85" t="str" cm="1">
        <f t="array" ref="C290">IFERROR(INDEX('03.Muestra'!$F$8:$F$42,SMALL(IF("Página Web"='03.Muestra'!$D$8:$D$42,ROW('03.Muestra'!$F$8:$F$42)-MIN(ROW('03.Muestra'!$D$8:$D$42))+1,""),ROW()-284)),"")</f>
        <v>https://www.comunidad.madrid/pjus_sede/search/node/sugerencias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IFERROR(INDEX('03.Muestra'!$B$8:$B$42,SMALL(IF("Página Web"='03.Muestra'!$D$8:$D$42,ROW('03.Muestra'!$B$8:$B$42)-MIN(ROW('03.Muestra'!$D$8:$D$42))+1,""),ROW()-284)),"")</f>
        <v/>
      </c>
      <c r="B291" s="85" t="str" cm="1">
        <f t="array" ref="B291">IFERROR(INDEX('03.Muestra'!$C$8:$C$42,SMALL(IF("Página Web"='03.Muestra'!$D$8:$D$42,ROW('03.Muestra'!$C$8:$C$42)-MIN(ROW('03.Muestra'!$D$8:$D$42))+1,""),ROW()-284)),"")</f>
        <v/>
      </c>
      <c r="C291" s="85" t="str" cm="1">
        <f t="array" ref="C291">IFERROR(INDEX('03.Muestra'!$F$8:$F$42,SMALL(IF("Página Web"='03.Muestra'!$D$8:$D$42,ROW('03.Muestra'!$F$8:$F$42)-MIN(ROW('03.Muestra'!$D$8:$D$42))+1,""),ROW()-284)),"")</f>
        <v/>
      </c>
      <c r="D291" s="99" t="str">
        <f t="shared" ref="D291:D319" si="15">IF(AND(B291&lt;&gt;"",C291&lt;&gt;""),"N/T","")</f>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101</v>
      </c>
      <c r="B322" s="23" t="s">
        <v>93</v>
      </c>
      <c r="C322" s="24" t="s">
        <v>152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https://www.comunidad.madrid/pjus_sede/</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https://www.comunidad.madrid/pjus_sede/node/35</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Conozca la sede</v>
      </c>
      <c r="C325" s="85" t="str" cm="1">
        <f t="array" ref="C325">IFERROR(INDEX('03.Muestra'!$F$8:$F$42,SMALL(IF("Página Web"='03.Muestra'!$D$8:$D$42,ROW('03.Muestra'!$F$8:$F$42)-MIN(ROW('03.Muestra'!$D$8:$D$42))+1,""),ROW()-322)),"")</f>
        <v>https://www.comunidad.madrid/pjus_sede/conozcalasede</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Tramites y servicios</v>
      </c>
      <c r="C326" s="85" t="str" cm="1">
        <f t="array" ref="C326">IFERROR(INDEX('03.Muestra'!$F$8:$F$42,SMALL(IF("Página Web"='03.Muestra'!$D$8:$D$42,ROW('03.Muestra'!$F$8:$F$42)-MIN(ROW('03.Muestra'!$D$8:$D$42))+1,""),ROW()-322)),"")</f>
        <v>https://www.comunidad.madrid/pjus_sede/tramitesyservicios</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Ayuda</v>
      </c>
      <c r="C327" s="85" t="str" cm="1">
        <f t="array" ref="C327">IFERROR(INDEX('03.Muestra'!$F$8:$F$42,SMALL(IF("Página Web"='03.Muestra'!$D$8:$D$42,ROW('03.Muestra'!$F$8:$F$42)-MIN(ROW('03.Muestra'!$D$8:$D$42))+1,""),ROW()-322)),"")</f>
        <v>https://www.comunidad.madrid/pjus_sede/ayuda</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Resultados de búsqueda</v>
      </c>
      <c r="C328" s="85" t="str" cm="1">
        <f t="array" ref="C328">IFERROR(INDEX('03.Muestra'!$F$8:$F$42,SMALL(IF("Página Web"='03.Muestra'!$D$8:$D$42,ROW('03.Muestra'!$F$8:$F$42)-MIN(ROW('03.Muestra'!$D$8:$D$42))+1,""),ROW()-322)),"")</f>
        <v>https://www.comunidad.madrid/pjus_sede/search/node/sugerencias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IFERROR(INDEX('03.Muestra'!$B$8:$B$42,SMALL(IF("Página Web"='03.Muestra'!$D$8:$D$42,ROW('03.Muestra'!$B$8:$B$42)-MIN(ROW('03.Muestra'!$D$8:$D$42))+1,""),ROW()-322)),"")</f>
        <v/>
      </c>
      <c r="B329" s="85" t="str" cm="1">
        <f t="array" ref="B329">IFERROR(INDEX('03.Muestra'!$C$8:$C$42,SMALL(IF("Página Web"='03.Muestra'!$D$8:$D$42,ROW('03.Muestra'!$C$8:$C$42)-MIN(ROW('03.Muestra'!$D$8:$D$42))+1,""),ROW()-322)),"")</f>
        <v/>
      </c>
      <c r="C329" s="85" t="str" cm="1">
        <f t="array" ref="C329">IFERROR(INDEX('03.Muestra'!$F$8:$F$42,SMALL(IF("Página Web"='03.Muestra'!$D$8:$D$42,ROW('03.Muestra'!$F$8:$F$42)-MIN(ROW('03.Muestra'!$D$8:$D$42))+1,""),ROW()-322)),"")</f>
        <v/>
      </c>
      <c r="D329" s="99" t="str">
        <f t="shared" ref="D329:D357" si="17">IF(AND(B329&lt;&gt;"",C329&lt;&gt;""),"N/T","")</f>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101</v>
      </c>
      <c r="B360" s="23" t="s">
        <v>93</v>
      </c>
      <c r="C360" s="24" t="s">
        <v>153</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https://www.comunidad.madrid/pjus_sede/</v>
      </c>
      <c r="D361" s="99" t="s">
        <v>106</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Accesibilidad</v>
      </c>
      <c r="C362" s="85" t="str" cm="1">
        <f t="array" ref="C362">IFERROR(INDEX('03.Muestra'!$F$8:$F$42,SMALL(IF("Página Web"='03.Muestra'!$D$8:$D$42,ROW('03.Muestra'!$F$8:$F$42)-MIN(ROW('03.Muestra'!$D$8:$D$42))+1,""),ROW()-360)),"")</f>
        <v>https://www.comunidad.madrid/pjus_sede/node/35</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6</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Conozca la sede</v>
      </c>
      <c r="C363" s="85" t="str" cm="1">
        <f t="array" ref="C363">IFERROR(INDEX('03.Muestra'!$F$8:$F$42,SMALL(IF("Página Web"='03.Muestra'!$D$8:$D$42,ROW('03.Muestra'!$F$8:$F$42)-MIN(ROW('03.Muestra'!$D$8:$D$42))+1,""),ROW()-360)),"")</f>
        <v>https://www.comunidad.madrid/pjus_sede/conozcalasede</v>
      </c>
      <c r="D363" s="99" t="s">
        <v>106</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Tramites y servicios</v>
      </c>
      <c r="C364" s="85" t="str" cm="1">
        <f t="array" ref="C364">IFERROR(INDEX('03.Muestra'!$F$8:$F$42,SMALL(IF("Página Web"='03.Muestra'!$D$8:$D$42,ROW('03.Muestra'!$F$8:$F$42)-MIN(ROW('03.Muestra'!$D$8:$D$42))+1,""),ROW()-360)),"")</f>
        <v>https://www.comunidad.madrid/pjus_sede/tramitesyservicios</v>
      </c>
      <c r="D364" s="99" t="s">
        <v>106</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Ayuda</v>
      </c>
      <c r="C365" s="85" t="str" cm="1">
        <f t="array" ref="C365">IFERROR(INDEX('03.Muestra'!$F$8:$F$42,SMALL(IF("Página Web"='03.Muestra'!$D$8:$D$42,ROW('03.Muestra'!$F$8:$F$42)-MIN(ROW('03.Muestra'!$D$8:$D$42))+1,""),ROW()-360)),"")</f>
        <v>https://www.comunidad.madrid/pjus_sede/ayuda</v>
      </c>
      <c r="D365" s="99" t="s">
        <v>106</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Resultados de búsqueda</v>
      </c>
      <c r="C366" s="85" t="str" cm="1">
        <f t="array" ref="C366">IFERROR(INDEX('03.Muestra'!$F$8:$F$42,SMALL(IF("Página Web"='03.Muestra'!$D$8:$D$42,ROW('03.Muestra'!$F$8:$F$42)-MIN(ROW('03.Muestra'!$D$8:$D$42))+1,""),ROW()-360)),"")</f>
        <v>https://www.comunidad.madrid/pjus_sede/search/node/sugerencias</v>
      </c>
      <c r="D366" s="99" t="s">
        <v>106</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IFERROR(INDEX('03.Muestra'!$B$8:$B$42,SMALL(IF("Página Web"='03.Muestra'!$D$8:$D$42,ROW('03.Muestra'!$B$8:$B$42)-MIN(ROW('03.Muestra'!$D$8:$D$42))+1,""),ROW()-360)),"")</f>
        <v/>
      </c>
      <c r="B367" s="85" t="str" cm="1">
        <f t="array" ref="B367">IFERROR(INDEX('03.Muestra'!$C$8:$C$42,SMALL(IF("Página Web"='03.Muestra'!$D$8:$D$42,ROW('03.Muestra'!$C$8:$C$42)-MIN(ROW('03.Muestra'!$D$8:$D$42))+1,""),ROW()-360)),"")</f>
        <v/>
      </c>
      <c r="C367" s="85" t="str" cm="1">
        <f t="array" ref="C367">IFERROR(INDEX('03.Muestra'!$F$8:$F$42,SMALL(IF("Página Web"='03.Muestra'!$D$8:$D$42,ROW('03.Muestra'!$F$8:$F$42)-MIN(ROW('03.Muestra'!$D$8:$D$42))+1,""),ROW()-360)),"")</f>
        <v/>
      </c>
      <c r="D367" s="99" t="str">
        <f t="shared" ref="D367:D395" si="19">IF(AND(B367&lt;&gt;"",C367&lt;&gt;""),"N/T","")</f>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101</v>
      </c>
      <c r="B398" s="23" t="s">
        <v>93</v>
      </c>
      <c r="C398" s="24" t="s">
        <v>154</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https://www.comunidad.madrid/pjus_sede/</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Accesibilidad</v>
      </c>
      <c r="C400" s="85" t="str" cm="1">
        <f t="array" ref="C400">IFERROR(INDEX('03.Muestra'!$F$8:$F$42,SMALL(IF("Página Web"='03.Muestra'!$D$8:$D$42,ROW('03.Muestra'!$F$8:$F$42)-MIN(ROW('03.Muestra'!$D$8:$D$42))+1,""),ROW()-398)),"")</f>
        <v>https://www.comunidad.madrid/pjus_sede/node/35</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6</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Conozca la sede</v>
      </c>
      <c r="C401" s="85" t="str" cm="1">
        <f t="array" ref="C401">IFERROR(INDEX('03.Muestra'!$F$8:$F$42,SMALL(IF("Página Web"='03.Muestra'!$D$8:$D$42,ROW('03.Muestra'!$F$8:$F$42)-MIN(ROW('03.Muestra'!$D$8:$D$42))+1,""),ROW()-398)),"")</f>
        <v>https://www.comunidad.madrid/pjus_sede/conozcalasede</v>
      </c>
      <c r="D401" s="99" t="s">
        <v>106</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Tramites y servicios</v>
      </c>
      <c r="C402" s="85" t="str" cm="1">
        <f t="array" ref="C402">IFERROR(INDEX('03.Muestra'!$F$8:$F$42,SMALL(IF("Página Web"='03.Muestra'!$D$8:$D$42,ROW('03.Muestra'!$F$8:$F$42)-MIN(ROW('03.Muestra'!$D$8:$D$42))+1,""),ROW()-398)),"")</f>
        <v>https://www.comunidad.madrid/pjus_sede/tramitesyservicios</v>
      </c>
      <c r="D402" s="99" t="s">
        <v>106</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Ayuda</v>
      </c>
      <c r="C403" s="85" t="str" cm="1">
        <f t="array" ref="C403">IFERROR(INDEX('03.Muestra'!$F$8:$F$42,SMALL(IF("Página Web"='03.Muestra'!$D$8:$D$42,ROW('03.Muestra'!$F$8:$F$42)-MIN(ROW('03.Muestra'!$D$8:$D$42))+1,""),ROW()-398)),"")</f>
        <v>https://www.comunidad.madrid/pjus_sede/ayuda</v>
      </c>
      <c r="D403" s="99" t="s">
        <v>106</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Resultados de búsqueda</v>
      </c>
      <c r="C404" s="85" t="str" cm="1">
        <f t="array" ref="C404">IFERROR(INDEX('03.Muestra'!$F$8:$F$42,SMALL(IF("Página Web"='03.Muestra'!$D$8:$D$42,ROW('03.Muestra'!$F$8:$F$42)-MIN(ROW('03.Muestra'!$D$8:$D$42))+1,""),ROW()-398)),"")</f>
        <v>https://www.comunidad.madrid/pjus_sede/search/node/sugerencias</v>
      </c>
      <c r="D404" s="99" t="s">
        <v>106</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IFERROR(INDEX('03.Muestra'!$B$8:$B$42,SMALL(IF("Página Web"='03.Muestra'!$D$8:$D$42,ROW('03.Muestra'!$B$8:$B$42)-MIN(ROW('03.Muestra'!$D$8:$D$42))+1,""),ROW()-398)),"")</f>
        <v/>
      </c>
      <c r="B405" s="85" t="str" cm="1">
        <f t="array" ref="B405">IFERROR(INDEX('03.Muestra'!$C$8:$C$42,SMALL(IF("Página Web"='03.Muestra'!$D$8:$D$42,ROW('03.Muestra'!$C$8:$C$42)-MIN(ROW('03.Muestra'!$D$8:$D$42))+1,""),ROW()-398)),"")</f>
        <v/>
      </c>
      <c r="C405" s="85" t="str" cm="1">
        <f t="array" ref="C405">IFERROR(INDEX('03.Muestra'!$F$8:$F$42,SMALL(IF("Página Web"='03.Muestra'!$D$8:$D$42,ROW('03.Muestra'!$F$8:$F$42)-MIN(ROW('03.Muestra'!$D$8:$D$42))+1,""),ROW()-398)),"")</f>
        <v/>
      </c>
      <c r="D405" s="99" t="str">
        <f t="shared" ref="D405:D433" si="21">IF(AND(B405&lt;&gt;"",C405&lt;&gt;""),"N/T","")</f>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101</v>
      </c>
      <c r="B436" s="23" t="s">
        <v>93</v>
      </c>
      <c r="C436" s="24" t="s">
        <v>155</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https://www.comunidad.madrid/pjus_sede/</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Accesibilidad</v>
      </c>
      <c r="C438" s="85" t="str" cm="1">
        <f t="array" ref="C438">IFERROR(INDEX('03.Muestra'!$F$8:$F$42,SMALL(IF("Página Web"='03.Muestra'!$D$8:$D$42,ROW('03.Muestra'!$F$8:$F$42)-MIN(ROW('03.Muestra'!$D$8:$D$42))+1,""),ROW()-436)),"")</f>
        <v>https://www.comunidad.madrid/pjus_sede/node/35</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6</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Conozca la sede</v>
      </c>
      <c r="C439" s="85" t="str" cm="1">
        <f t="array" ref="C439">IFERROR(INDEX('03.Muestra'!$F$8:$F$42,SMALL(IF("Página Web"='03.Muestra'!$D$8:$D$42,ROW('03.Muestra'!$F$8:$F$42)-MIN(ROW('03.Muestra'!$D$8:$D$42))+1,""),ROW()-436)),"")</f>
        <v>https://www.comunidad.madrid/pjus_sede/conozcalasede</v>
      </c>
      <c r="D439" s="99" t="s">
        <v>106</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Tramites y servicios</v>
      </c>
      <c r="C440" s="85" t="str" cm="1">
        <f t="array" ref="C440">IFERROR(INDEX('03.Muestra'!$F$8:$F$42,SMALL(IF("Página Web"='03.Muestra'!$D$8:$D$42,ROW('03.Muestra'!$F$8:$F$42)-MIN(ROW('03.Muestra'!$D$8:$D$42))+1,""),ROW()-436)),"")</f>
        <v>https://www.comunidad.madrid/pjus_sede/tramitesyservicios</v>
      </c>
      <c r="D440" s="99" t="s">
        <v>106</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Ayuda</v>
      </c>
      <c r="C441" s="85" t="str" cm="1">
        <f t="array" ref="C441">IFERROR(INDEX('03.Muestra'!$F$8:$F$42,SMALL(IF("Página Web"='03.Muestra'!$D$8:$D$42,ROW('03.Muestra'!$F$8:$F$42)-MIN(ROW('03.Muestra'!$D$8:$D$42))+1,""),ROW()-436)),"")</f>
        <v>https://www.comunidad.madrid/pjus_sede/ayuda</v>
      </c>
      <c r="D441" s="99" t="s">
        <v>106</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Resultados de búsqueda</v>
      </c>
      <c r="C442" s="85" t="str" cm="1">
        <f t="array" ref="C442">IFERROR(INDEX('03.Muestra'!$F$8:$F$42,SMALL(IF("Página Web"='03.Muestra'!$D$8:$D$42,ROW('03.Muestra'!$F$8:$F$42)-MIN(ROW('03.Muestra'!$D$8:$D$42))+1,""),ROW()-436)),"")</f>
        <v>https://www.comunidad.madrid/pjus_sede/search/node/sugerencias</v>
      </c>
      <c r="D442" s="99" t="s">
        <v>106</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IFERROR(INDEX('03.Muestra'!$B$8:$B$42,SMALL(IF("Página Web"='03.Muestra'!$D$8:$D$42,ROW('03.Muestra'!$B$8:$B$42)-MIN(ROW('03.Muestra'!$D$8:$D$42))+1,""),ROW()-436)),"")</f>
        <v/>
      </c>
      <c r="B443" s="85" t="str" cm="1">
        <f t="array" ref="B443">IFERROR(INDEX('03.Muestra'!$C$8:$C$42,SMALL(IF("Página Web"='03.Muestra'!$D$8:$D$42,ROW('03.Muestra'!$C$8:$C$42)-MIN(ROW('03.Muestra'!$D$8:$D$42))+1,""),ROW()-436)),"")</f>
        <v/>
      </c>
      <c r="C443" s="85" t="str" cm="1">
        <f t="array" ref="C443">IFERROR(INDEX('03.Muestra'!$F$8:$F$42,SMALL(IF("Página Web"='03.Muestra'!$D$8:$D$42,ROW('03.Muestra'!$F$8:$F$42)-MIN(ROW('03.Muestra'!$D$8:$D$42))+1,""),ROW()-436)),"")</f>
        <v/>
      </c>
      <c r="D443" s="99" t="str">
        <f t="shared" ref="D443:D471" si="23">IF(AND(B443&lt;&gt;"",C443&lt;&gt;""),"N/T","")</f>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101</v>
      </c>
      <c r="B474" s="23" t="s">
        <v>93</v>
      </c>
      <c r="C474" s="24" t="s">
        <v>156</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https://www.comunidad.madrid/pjus_sede/</v>
      </c>
      <c r="D475" s="99" t="s">
        <v>96</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Accesibilidad</v>
      </c>
      <c r="C476" s="85" t="str" cm="1">
        <f t="array" ref="C476">IFERROR(INDEX('03.Muestra'!$F$8:$F$42,SMALL(IF("Página Web"='03.Muestra'!$D$8:$D$42,ROW('03.Muestra'!$F$8:$F$42)-MIN(ROW('03.Muestra'!$D$8:$D$42))+1,""),ROW()-474)),"")</f>
        <v>https://www.comunidad.madrid/pjus_sede/node/35</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2</v>
      </c>
      <c r="J476" s="91">
        <f ca="1">COUNTIF($D475:INDIRECT("$D" &amp;  SUM(ROW()-1,'03.Muestra'!$D$45)-1),J475)</f>
        <v>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Conozca la sede</v>
      </c>
      <c r="C477" s="85" t="str" cm="1">
        <f t="array" ref="C477">IFERROR(INDEX('03.Muestra'!$F$8:$F$42,SMALL(IF("Página Web"='03.Muestra'!$D$8:$D$42,ROW('03.Muestra'!$F$8:$F$42)-MIN(ROW('03.Muestra'!$D$8:$D$42))+1,""),ROW()-474)),"")</f>
        <v>https://www.comunidad.madrid/pjus_sede/conozcalasede</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Tramites y servicios</v>
      </c>
      <c r="C478" s="85" t="str" cm="1">
        <f t="array" ref="C478">IFERROR(INDEX('03.Muestra'!$F$8:$F$42,SMALL(IF("Página Web"='03.Muestra'!$D$8:$D$42,ROW('03.Muestra'!$F$8:$F$42)-MIN(ROW('03.Muestra'!$D$8:$D$42))+1,""),ROW()-474)),"")</f>
        <v>https://www.comunidad.madrid/pjus_sede/tramitesyservicios</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Ayuda</v>
      </c>
      <c r="C479" s="85" t="str" cm="1">
        <f t="array" ref="C479">IFERROR(INDEX('03.Muestra'!$F$8:$F$42,SMALL(IF("Página Web"='03.Muestra'!$D$8:$D$42,ROW('03.Muestra'!$F$8:$F$42)-MIN(ROW('03.Muestra'!$D$8:$D$42))+1,""),ROW()-474)),"")</f>
        <v>https://www.comunidad.madrid/pjus_sede/ayuda</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Resultados de búsqueda</v>
      </c>
      <c r="C480" s="85" t="str" cm="1">
        <f t="array" ref="C480">IFERROR(INDEX('03.Muestra'!$F$8:$F$42,SMALL(IF("Página Web"='03.Muestra'!$D$8:$D$42,ROW('03.Muestra'!$F$8:$F$42)-MIN(ROW('03.Muestra'!$D$8:$D$42))+1,""),ROW()-474)),"")</f>
        <v>https://www.comunidad.madrid/pjus_sede/search/node/sugerencias</v>
      </c>
      <c r="D480" s="99" t="s">
        <v>96</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IFERROR(INDEX('03.Muestra'!$B$8:$B$42,SMALL(IF("Página Web"='03.Muestra'!$D$8:$D$42,ROW('03.Muestra'!$B$8:$B$42)-MIN(ROW('03.Muestra'!$D$8:$D$42))+1,""),ROW()-474)),"")</f>
        <v/>
      </c>
      <c r="B481" s="85" t="str" cm="1">
        <f t="array" ref="B481">IFERROR(INDEX('03.Muestra'!$C$8:$C$42,SMALL(IF("Página Web"='03.Muestra'!$D$8:$D$42,ROW('03.Muestra'!$C$8:$C$42)-MIN(ROW('03.Muestra'!$D$8:$D$42))+1,""),ROW()-474)),"")</f>
        <v/>
      </c>
      <c r="C481" s="85" t="str" cm="1">
        <f t="array" ref="C481">IFERROR(INDEX('03.Muestra'!$F$8:$F$42,SMALL(IF("Página Web"='03.Muestra'!$D$8:$D$42,ROW('03.Muestra'!$F$8:$F$42)-MIN(ROW('03.Muestra'!$D$8:$D$42))+1,""),ROW()-474)),"")</f>
        <v/>
      </c>
      <c r="D481" s="99" t="str">
        <f t="shared" ref="D481:D509" si="25">IF(AND(B481&lt;&gt;"",C481&lt;&gt;""),"N/T","")</f>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101</v>
      </c>
      <c r="B512" s="23" t="s">
        <v>93</v>
      </c>
      <c r="C512" s="24" t="s">
        <v>157</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https://www.comunidad.madrid/pjus_sede/</v>
      </c>
      <c r="D513" s="99" t="s">
        <v>96</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Accesibilidad</v>
      </c>
      <c r="C514" s="85" t="str" cm="1">
        <f t="array" ref="C514">IFERROR(INDEX('03.Muestra'!$F$8:$F$42,SMALL(IF("Página Web"='03.Muestra'!$D$8:$D$42,ROW('03.Muestra'!$F$8:$F$42)-MIN(ROW('03.Muestra'!$D$8:$D$42))+1,""),ROW()-512)),"")</f>
        <v>https://www.comunidad.madrid/pjus_sede/node/35</v>
      </c>
      <c r="D514" s="99" t="s">
        <v>96</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6</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Conozca la sede</v>
      </c>
      <c r="C515" s="85" t="str" cm="1">
        <f t="array" ref="C515">IFERROR(INDEX('03.Muestra'!$F$8:$F$42,SMALL(IF("Página Web"='03.Muestra'!$D$8:$D$42,ROW('03.Muestra'!$F$8:$F$42)-MIN(ROW('03.Muestra'!$D$8:$D$42))+1,""),ROW()-512)),"")</f>
        <v>https://www.comunidad.madrid/pjus_sede/conozcalasede</v>
      </c>
      <c r="D515" s="99" t="s">
        <v>96</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Tramites y servicios</v>
      </c>
      <c r="C516" s="85" t="str" cm="1">
        <f t="array" ref="C516">IFERROR(INDEX('03.Muestra'!$F$8:$F$42,SMALL(IF("Página Web"='03.Muestra'!$D$8:$D$42,ROW('03.Muestra'!$F$8:$F$42)-MIN(ROW('03.Muestra'!$D$8:$D$42))+1,""),ROW()-512)),"")</f>
        <v>https://www.comunidad.madrid/pjus_sede/tramitesyservicios</v>
      </c>
      <c r="D516" s="99" t="s">
        <v>96</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Ayuda</v>
      </c>
      <c r="C517" s="85" t="str" cm="1">
        <f t="array" ref="C517">IFERROR(INDEX('03.Muestra'!$F$8:$F$42,SMALL(IF("Página Web"='03.Muestra'!$D$8:$D$42,ROW('03.Muestra'!$F$8:$F$42)-MIN(ROW('03.Muestra'!$D$8:$D$42))+1,""),ROW()-512)),"")</f>
        <v>https://www.comunidad.madrid/pjus_sede/ayuda</v>
      </c>
      <c r="D517" s="99" t="s">
        <v>96</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Resultados de búsqueda</v>
      </c>
      <c r="C518" s="85" t="str" cm="1">
        <f t="array" ref="C518">IFERROR(INDEX('03.Muestra'!$F$8:$F$42,SMALL(IF("Página Web"='03.Muestra'!$D$8:$D$42,ROW('03.Muestra'!$F$8:$F$42)-MIN(ROW('03.Muestra'!$D$8:$D$42))+1,""),ROW()-512)),"")</f>
        <v>https://www.comunidad.madrid/pjus_sede/search/node/sugerencias</v>
      </c>
      <c r="D518" s="99" t="s">
        <v>96</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IFERROR(INDEX('03.Muestra'!$B$8:$B$42,SMALL(IF("Página Web"='03.Muestra'!$D$8:$D$42,ROW('03.Muestra'!$B$8:$B$42)-MIN(ROW('03.Muestra'!$D$8:$D$42))+1,""),ROW()-512)),"")</f>
        <v/>
      </c>
      <c r="B519" s="85" t="str" cm="1">
        <f t="array" ref="B519">IFERROR(INDEX('03.Muestra'!$C$8:$C$42,SMALL(IF("Página Web"='03.Muestra'!$D$8:$D$42,ROW('03.Muestra'!$C$8:$C$42)-MIN(ROW('03.Muestra'!$D$8:$D$42))+1,""),ROW()-512)),"")</f>
        <v/>
      </c>
      <c r="C519" s="85" t="str" cm="1">
        <f t="array" ref="C519">IFERROR(INDEX('03.Muestra'!$F$8:$F$42,SMALL(IF("Página Web"='03.Muestra'!$D$8:$D$42,ROW('03.Muestra'!$F$8:$F$42)-MIN(ROW('03.Muestra'!$D$8:$D$42))+1,""),ROW()-512)),"")</f>
        <v/>
      </c>
      <c r="D519" s="99" t="str">
        <f t="shared" ref="D519:D547" si="27">IF(AND(B519&lt;&gt;"",C519&lt;&gt;""),"N/T","")</f>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101</v>
      </c>
      <c r="B550" s="23" t="s">
        <v>93</v>
      </c>
      <c r="C550" s="24" t="s">
        <v>158</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https://www.comunidad.madrid/pjus_sede/</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Accesibilidad</v>
      </c>
      <c r="C552" s="85" t="str" cm="1">
        <f t="array" ref="C552">IFERROR(INDEX('03.Muestra'!$F$8:$F$42,SMALL(IF("Página Web"='03.Muestra'!$D$8:$D$42,ROW('03.Muestra'!$F$8:$F$42)-MIN(ROW('03.Muestra'!$D$8:$D$42))+1,""),ROW()-550)),"")</f>
        <v>https://www.comunidad.madrid/pjus_sede/node/35</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6</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Conozca la sede</v>
      </c>
      <c r="C553" s="85" t="str" cm="1">
        <f t="array" ref="C553">IFERROR(INDEX('03.Muestra'!$F$8:$F$42,SMALL(IF("Página Web"='03.Muestra'!$D$8:$D$42,ROW('03.Muestra'!$F$8:$F$42)-MIN(ROW('03.Muestra'!$D$8:$D$42))+1,""),ROW()-550)),"")</f>
        <v>https://www.comunidad.madrid/pjus_sede/conozcalasede</v>
      </c>
      <c r="D553" s="99" t="s">
        <v>106</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Tramites y servicios</v>
      </c>
      <c r="C554" s="85" t="str" cm="1">
        <f t="array" ref="C554">IFERROR(INDEX('03.Muestra'!$F$8:$F$42,SMALL(IF("Página Web"='03.Muestra'!$D$8:$D$42,ROW('03.Muestra'!$F$8:$F$42)-MIN(ROW('03.Muestra'!$D$8:$D$42))+1,""),ROW()-550)),"")</f>
        <v>https://www.comunidad.madrid/pjus_sede/tramitesyservicios</v>
      </c>
      <c r="D554" s="99" t="s">
        <v>106</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Ayuda</v>
      </c>
      <c r="C555" s="85" t="str" cm="1">
        <f t="array" ref="C555">IFERROR(INDEX('03.Muestra'!$F$8:$F$42,SMALL(IF("Página Web"='03.Muestra'!$D$8:$D$42,ROW('03.Muestra'!$F$8:$F$42)-MIN(ROW('03.Muestra'!$D$8:$D$42))+1,""),ROW()-550)),"")</f>
        <v>https://www.comunidad.madrid/pjus_sede/ayuda</v>
      </c>
      <c r="D555" s="99" t="s">
        <v>106</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Resultados de búsqueda</v>
      </c>
      <c r="C556" s="85" t="str" cm="1">
        <f t="array" ref="C556">IFERROR(INDEX('03.Muestra'!$F$8:$F$42,SMALL(IF("Página Web"='03.Muestra'!$D$8:$D$42,ROW('03.Muestra'!$F$8:$F$42)-MIN(ROW('03.Muestra'!$D$8:$D$42))+1,""),ROW()-550)),"")</f>
        <v>https://www.comunidad.madrid/pjus_sede/search/node/sugerencias</v>
      </c>
      <c r="D556" s="99" t="s">
        <v>106</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IFERROR(INDEX('03.Muestra'!$B$8:$B$42,SMALL(IF("Página Web"='03.Muestra'!$D$8:$D$42,ROW('03.Muestra'!$B$8:$B$42)-MIN(ROW('03.Muestra'!$D$8:$D$42))+1,""),ROW()-550)),"")</f>
        <v/>
      </c>
      <c r="B557" s="85" t="str" cm="1">
        <f t="array" ref="B557">IFERROR(INDEX('03.Muestra'!$C$8:$C$42,SMALL(IF("Página Web"='03.Muestra'!$D$8:$D$42,ROW('03.Muestra'!$C$8:$C$42)-MIN(ROW('03.Muestra'!$D$8:$D$42))+1,""),ROW()-550)),"")</f>
        <v/>
      </c>
      <c r="C557" s="85" t="str" cm="1">
        <f t="array" ref="C557">IFERROR(INDEX('03.Muestra'!$F$8:$F$42,SMALL(IF("Página Web"='03.Muestra'!$D$8:$D$42,ROW('03.Muestra'!$F$8:$F$42)-MIN(ROW('03.Muestra'!$D$8:$D$42))+1,""),ROW()-550)),"")</f>
        <v/>
      </c>
      <c r="D557" s="99" t="str">
        <f t="shared" ref="D557:D585" si="29">IF(AND(B557&lt;&gt;"",C557&lt;&gt;""),"N/T","")</f>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101</v>
      </c>
      <c r="B588" s="23" t="s">
        <v>93</v>
      </c>
      <c r="C588" s="24" t="s">
        <v>159</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https://www.comunidad.madrid/pjus_sede/</v>
      </c>
      <c r="D589" s="99" t="s">
        <v>96</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Accesibilidad</v>
      </c>
      <c r="C590" s="85" t="str" cm="1">
        <f t="array" ref="C590">IFERROR(INDEX('03.Muestra'!$F$8:$F$42,SMALL(IF("Página Web"='03.Muestra'!$D$8:$D$42,ROW('03.Muestra'!$F$8:$F$42)-MIN(ROW('03.Muestra'!$D$8:$D$42))+1,""),ROW()-588)),"")</f>
        <v>https://www.comunidad.madrid/pjus_sede/node/35</v>
      </c>
      <c r="D590" s="99" t="s">
        <v>96</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6</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Conozca la sede</v>
      </c>
      <c r="C591" s="85" t="str" cm="1">
        <f t="array" ref="C591">IFERROR(INDEX('03.Muestra'!$F$8:$F$42,SMALL(IF("Página Web"='03.Muestra'!$D$8:$D$42,ROW('03.Muestra'!$F$8:$F$42)-MIN(ROW('03.Muestra'!$D$8:$D$42))+1,""),ROW()-588)),"")</f>
        <v>https://www.comunidad.madrid/pjus_sede/conozcalasede</v>
      </c>
      <c r="D591" s="99" t="s">
        <v>96</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Tramites y servicios</v>
      </c>
      <c r="C592" s="85" t="str" cm="1">
        <f t="array" ref="C592">IFERROR(INDEX('03.Muestra'!$F$8:$F$42,SMALL(IF("Página Web"='03.Muestra'!$D$8:$D$42,ROW('03.Muestra'!$F$8:$F$42)-MIN(ROW('03.Muestra'!$D$8:$D$42))+1,""),ROW()-588)),"")</f>
        <v>https://www.comunidad.madrid/pjus_sede/tramitesyservicios</v>
      </c>
      <c r="D592" s="99" t="s">
        <v>96</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Ayuda</v>
      </c>
      <c r="C593" s="85" t="str" cm="1">
        <f t="array" ref="C593">IFERROR(INDEX('03.Muestra'!$F$8:$F$42,SMALL(IF("Página Web"='03.Muestra'!$D$8:$D$42,ROW('03.Muestra'!$F$8:$F$42)-MIN(ROW('03.Muestra'!$D$8:$D$42))+1,""),ROW()-588)),"")</f>
        <v>https://www.comunidad.madrid/pjus_sede/ayuda</v>
      </c>
      <c r="D593" s="99" t="s">
        <v>96</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Resultados de búsqueda</v>
      </c>
      <c r="C594" s="85" t="str" cm="1">
        <f t="array" ref="C594">IFERROR(INDEX('03.Muestra'!$F$8:$F$42,SMALL(IF("Página Web"='03.Muestra'!$D$8:$D$42,ROW('03.Muestra'!$F$8:$F$42)-MIN(ROW('03.Muestra'!$D$8:$D$42))+1,""),ROW()-588)),"")</f>
        <v>https://www.comunidad.madrid/pjus_sede/search/node/sugerencias</v>
      </c>
      <c r="D594" s="99" t="s">
        <v>96</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IFERROR(INDEX('03.Muestra'!$B$8:$B$42,SMALL(IF("Página Web"='03.Muestra'!$D$8:$D$42,ROW('03.Muestra'!$B$8:$B$42)-MIN(ROW('03.Muestra'!$D$8:$D$42))+1,""),ROW()-588)),"")</f>
        <v/>
      </c>
      <c r="B595" s="85" t="str" cm="1">
        <f t="array" ref="B595">IFERROR(INDEX('03.Muestra'!$C$8:$C$42,SMALL(IF("Página Web"='03.Muestra'!$D$8:$D$42,ROW('03.Muestra'!$C$8:$C$42)-MIN(ROW('03.Muestra'!$D$8:$D$42))+1,""),ROW()-588)),"")</f>
        <v/>
      </c>
      <c r="C595" s="85" t="str" cm="1">
        <f t="array" ref="C595">IFERROR(INDEX('03.Muestra'!$F$8:$F$42,SMALL(IF("Página Web"='03.Muestra'!$D$8:$D$42,ROW('03.Muestra'!$F$8:$F$42)-MIN(ROW('03.Muestra'!$D$8:$D$42))+1,""),ROW()-588)),"")</f>
        <v/>
      </c>
      <c r="D595" s="99" t="str">
        <f t="shared" ref="D595:D623" si="31">IF(AND(B595&lt;&gt;"",C595&lt;&gt;""),"N/T","")</f>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101</v>
      </c>
      <c r="B626" s="23" t="s">
        <v>93</v>
      </c>
      <c r="C626" s="24" t="s">
        <v>160</v>
      </c>
      <c r="D626" s="25" t="s">
        <v>103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https://www.comunidad.madrid/pjus_sede/</v>
      </c>
      <c r="D627" s="99" t="s">
        <v>94</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Accesibilidad</v>
      </c>
      <c r="C628" s="85" t="str" cm="1">
        <f t="array" ref="C628">IFERROR(INDEX('03.Muestra'!$F$8:$F$42,SMALL(IF("Página Web"='03.Muestra'!$D$8:$D$42,ROW('03.Muestra'!$F$8:$F$42)-MIN(ROW('03.Muestra'!$D$8:$D$42))+1,""),ROW()-626)),"")</f>
        <v>https://www.comunidad.madrid/pjus_sede/node/35</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v>
      </c>
      <c r="J628" s="91">
        <f ca="1">COUNTIF($D627:INDIRECT("$D" &amp;  SUM(ROW()-1,'03.Muestra'!$D$45)-1),J627)</f>
        <v>5</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Conozca la sede</v>
      </c>
      <c r="C629" s="85" t="str" cm="1">
        <f t="array" ref="C629">IFERROR(INDEX('03.Muestra'!$F$8:$F$42,SMALL(IF("Página Web"='03.Muestra'!$D$8:$D$42,ROW('03.Muestra'!$F$8:$F$42)-MIN(ROW('03.Muestra'!$D$8:$D$42))+1,""),ROW()-626)),"")</f>
        <v>https://www.comunidad.madrid/pjus_sede/conozcalasede</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Tramites y servicios</v>
      </c>
      <c r="C630" s="85" t="str" cm="1">
        <f t="array" ref="C630">IFERROR(INDEX('03.Muestra'!$F$8:$F$42,SMALL(IF("Página Web"='03.Muestra'!$D$8:$D$42,ROW('03.Muestra'!$F$8:$F$42)-MIN(ROW('03.Muestra'!$D$8:$D$42))+1,""),ROW()-626)),"")</f>
        <v>https://www.comunidad.madrid/pjus_sede/tramitesyservicios</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Ayuda</v>
      </c>
      <c r="C631" s="85" t="str" cm="1">
        <f t="array" ref="C631">IFERROR(INDEX('03.Muestra'!$F$8:$F$42,SMALL(IF("Página Web"='03.Muestra'!$D$8:$D$42,ROW('03.Muestra'!$F$8:$F$42)-MIN(ROW('03.Muestra'!$D$8:$D$42))+1,""),ROW()-626)),"")</f>
        <v>https://www.comunidad.madrid/pjus_sede/ayuda</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Resultados de búsqueda</v>
      </c>
      <c r="C632" s="85" t="str" cm="1">
        <f t="array" ref="C632">IFERROR(INDEX('03.Muestra'!$F$8:$F$42,SMALL(IF("Página Web"='03.Muestra'!$D$8:$D$42,ROW('03.Muestra'!$F$8:$F$42)-MIN(ROW('03.Muestra'!$D$8:$D$42))+1,""),ROW()-626)),"")</f>
        <v>https://www.comunidad.madrid/pjus_sede/search/node/sugerencias</v>
      </c>
      <c r="D632" s="99" t="s">
        <v>96</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t="str" cm="1">
        <f t="array" ref="A633">IFERROR(INDEX('03.Muestra'!$B$8:$B$42,SMALL(IF("Página Web"='03.Muestra'!$D$8:$D$42,ROW('03.Muestra'!$B$8:$B$42)-MIN(ROW('03.Muestra'!$D$8:$D$42))+1,""),ROW()-626)),"")</f>
        <v/>
      </c>
      <c r="B633" s="85" t="str" cm="1">
        <f t="array" ref="B633">IFERROR(INDEX('03.Muestra'!$C$8:$C$42,SMALL(IF("Página Web"='03.Muestra'!$D$8:$D$42,ROW('03.Muestra'!$C$8:$C$42)-MIN(ROW('03.Muestra'!$D$8:$D$42))+1,""),ROW()-626)),"")</f>
        <v/>
      </c>
      <c r="C633" s="85" t="str" cm="1">
        <f t="array" ref="C633">IFERROR(INDEX('03.Muestra'!$F$8:$F$42,SMALL(IF("Página Web"='03.Muestra'!$D$8:$D$42,ROW('03.Muestra'!$F$8:$F$42)-MIN(ROW('03.Muestra'!$D$8:$D$42))+1,""),ROW()-626)),"")</f>
        <v/>
      </c>
      <c r="D633" s="99" t="str">
        <f t="shared" ref="D633:D661" si="33">IF(AND(B633&lt;&gt;"",C633&lt;&gt;""),"N/T","")</f>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101</v>
      </c>
      <c r="B664" s="23" t="s">
        <v>93</v>
      </c>
      <c r="C664" s="24" t="s">
        <v>161</v>
      </c>
      <c r="D664" s="25" t="s">
        <v>103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https://www.comunidad.madrid/pjus_sede/</v>
      </c>
      <c r="D665" s="99" t="s">
        <v>94</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Accesibilidad</v>
      </c>
      <c r="C666" s="85" t="str" cm="1">
        <f t="array" ref="C666">IFERROR(INDEX('03.Muestra'!$F$8:$F$42,SMALL(IF("Página Web"='03.Muestra'!$D$8:$D$42,ROW('03.Muestra'!$F$8:$F$42)-MIN(ROW('03.Muestra'!$D$8:$D$42))+1,""),ROW()-664)),"")</f>
        <v>https://www.comunidad.madrid/pjus_sede/node/35</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3</v>
      </c>
      <c r="J666" s="91">
        <f ca="1">COUNTIF($D665:INDIRECT("$D" &amp;  SUM(ROW()-1,'03.Muestra'!$D$45)-1),J665)</f>
        <v>3</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Conozca la sede</v>
      </c>
      <c r="C667" s="85" t="str" cm="1">
        <f t="array" ref="C667">IFERROR(INDEX('03.Muestra'!$F$8:$F$42,SMALL(IF("Página Web"='03.Muestra'!$D$8:$D$42,ROW('03.Muestra'!$F$8:$F$42)-MIN(ROW('03.Muestra'!$D$8:$D$42))+1,""),ROW()-664)),"")</f>
        <v>https://www.comunidad.madrid/pjus_sede/conozcalasede</v>
      </c>
      <c r="D667" s="99" t="s">
        <v>96</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Tramites y servicios</v>
      </c>
      <c r="C668" s="85" t="str" cm="1">
        <f t="array" ref="C668">IFERROR(INDEX('03.Muestra'!$F$8:$F$42,SMALL(IF("Página Web"='03.Muestra'!$D$8:$D$42,ROW('03.Muestra'!$F$8:$F$42)-MIN(ROW('03.Muestra'!$D$8:$D$42))+1,""),ROW()-664)),"")</f>
        <v>https://www.comunidad.madrid/pjus_sede/tramitesyservicios</v>
      </c>
      <c r="D668" s="99" t="s">
        <v>96</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Ayuda</v>
      </c>
      <c r="C669" s="85" t="str" cm="1">
        <f t="array" ref="C669">IFERROR(INDEX('03.Muestra'!$F$8:$F$42,SMALL(IF("Página Web"='03.Muestra'!$D$8:$D$42,ROW('03.Muestra'!$F$8:$F$42)-MIN(ROW('03.Muestra'!$D$8:$D$42))+1,""),ROW()-664)),"")</f>
        <v>https://www.comunidad.madrid/pjus_sede/ayuda</v>
      </c>
      <c r="D669" s="99" t="s">
        <v>96</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Resultados de búsqueda</v>
      </c>
      <c r="C670" s="85" t="str" cm="1">
        <f t="array" ref="C670">IFERROR(INDEX('03.Muestra'!$F$8:$F$42,SMALL(IF("Página Web"='03.Muestra'!$D$8:$D$42,ROW('03.Muestra'!$F$8:$F$42)-MIN(ROW('03.Muestra'!$D$8:$D$42))+1,""),ROW()-664)),"")</f>
        <v>https://www.comunidad.madrid/pjus_sede/search/node/sugerencias</v>
      </c>
      <c r="D670" s="99" t="s">
        <v>94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t="str" cm="1">
        <f t="array" ref="A671">IFERROR(INDEX('03.Muestra'!$B$8:$B$42,SMALL(IF("Página Web"='03.Muestra'!$D$8:$D$42,ROW('03.Muestra'!$B$8:$B$42)-MIN(ROW('03.Muestra'!$D$8:$D$42))+1,""),ROW()-664)),"")</f>
        <v/>
      </c>
      <c r="B671" s="85" t="str" cm="1">
        <f t="array" ref="B671">IFERROR(INDEX('03.Muestra'!$C$8:$C$42,SMALL(IF("Página Web"='03.Muestra'!$D$8:$D$42,ROW('03.Muestra'!$C$8:$C$42)-MIN(ROW('03.Muestra'!$D$8:$D$42))+1,""),ROW()-664)),"")</f>
        <v/>
      </c>
      <c r="C671" s="85" t="str" cm="1">
        <f t="array" ref="C671">IFERROR(INDEX('03.Muestra'!$F$8:$F$42,SMALL(IF("Página Web"='03.Muestra'!$D$8:$D$42,ROW('03.Muestra'!$F$8:$F$42)-MIN(ROW('03.Muestra'!$D$8:$D$42))+1,""),ROW()-664)),"")</f>
        <v/>
      </c>
      <c r="D671" s="99" t="str">
        <f t="shared" ref="D671:D699" si="35">IF(AND(B671&lt;&gt;"",C671&lt;&gt;""),"N/T","")</f>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101</v>
      </c>
      <c r="B702" s="23" t="s">
        <v>93</v>
      </c>
      <c r="C702" s="24" t="s">
        <v>162</v>
      </c>
      <c r="D702" s="25" t="s">
        <v>103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https://www.comunidad.madrid/pjus_sede/</v>
      </c>
      <c r="D703" s="99" t="s">
        <v>106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Accesibilidad</v>
      </c>
      <c r="C704" s="85" t="str" cm="1">
        <f t="array" ref="C704">IFERROR(INDEX('03.Muestra'!$F$8:$F$42,SMALL(IF("Página Web"='03.Muestra'!$D$8:$D$42,ROW('03.Muestra'!$F$8:$F$42)-MIN(ROW('03.Muestra'!$D$8:$D$42))+1,""),ROW()-702)),"")</f>
        <v>https://www.comunidad.madrid/pjus_sede/node/35</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6</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Conozca la sede</v>
      </c>
      <c r="C705" s="85" t="str" cm="1">
        <f t="array" ref="C705">IFERROR(INDEX('03.Muestra'!$F$8:$F$42,SMALL(IF("Página Web"='03.Muestra'!$D$8:$D$42,ROW('03.Muestra'!$F$8:$F$42)-MIN(ROW('03.Muestra'!$D$8:$D$42))+1,""),ROW()-702)),"")</f>
        <v>https://www.comunidad.madrid/pjus_sede/conozcalasede</v>
      </c>
      <c r="D705" s="99" t="s">
        <v>106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Tramites y servicios</v>
      </c>
      <c r="C706" s="85" t="str" cm="1">
        <f t="array" ref="C706">IFERROR(INDEX('03.Muestra'!$F$8:$F$42,SMALL(IF("Página Web"='03.Muestra'!$D$8:$D$42,ROW('03.Muestra'!$F$8:$F$42)-MIN(ROW('03.Muestra'!$D$8:$D$42))+1,""),ROW()-702)),"")</f>
        <v>https://www.comunidad.madrid/pjus_sede/tramitesyservicios</v>
      </c>
      <c r="D706" s="99" t="s">
        <v>106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Ayuda</v>
      </c>
      <c r="C707" s="85" t="str" cm="1">
        <f t="array" ref="C707">IFERROR(INDEX('03.Muestra'!$F$8:$F$42,SMALL(IF("Página Web"='03.Muestra'!$D$8:$D$42,ROW('03.Muestra'!$F$8:$F$42)-MIN(ROW('03.Muestra'!$D$8:$D$42))+1,""),ROW()-702)),"")</f>
        <v>https://www.comunidad.madrid/pjus_sede/ayuda</v>
      </c>
      <c r="D707" s="99" t="s">
        <v>106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Resultados de búsqueda</v>
      </c>
      <c r="C708" s="85" t="str" cm="1">
        <f t="array" ref="C708">IFERROR(INDEX('03.Muestra'!$F$8:$F$42,SMALL(IF("Página Web"='03.Muestra'!$D$8:$D$42,ROW('03.Muestra'!$F$8:$F$42)-MIN(ROW('03.Muestra'!$D$8:$D$42))+1,""),ROW()-702)),"")</f>
        <v>https://www.comunidad.madrid/pjus_sede/search/node/sugerencias</v>
      </c>
      <c r="D708" s="99" t="s">
        <v>106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t="str" cm="1">
        <f t="array" ref="A709">IFERROR(INDEX('03.Muestra'!$B$8:$B$42,SMALL(IF("Página Web"='03.Muestra'!$D$8:$D$42,ROW('03.Muestra'!$B$8:$B$42)-MIN(ROW('03.Muestra'!$D$8:$D$42))+1,""),ROW()-702)),"")</f>
        <v/>
      </c>
      <c r="B709" s="85" t="str" cm="1">
        <f t="array" ref="B709">IFERROR(INDEX('03.Muestra'!$C$8:$C$42,SMALL(IF("Página Web"='03.Muestra'!$D$8:$D$42,ROW('03.Muestra'!$C$8:$C$42)-MIN(ROW('03.Muestra'!$D$8:$D$42))+1,""),ROW()-702)),"")</f>
        <v/>
      </c>
      <c r="C709" s="85" t="str" cm="1">
        <f t="array" ref="C709">IFERROR(INDEX('03.Muestra'!$F$8:$F$42,SMALL(IF("Página Web"='03.Muestra'!$D$8:$D$42,ROW('03.Muestra'!$F$8:$F$42)-MIN(ROW('03.Muestra'!$D$8:$D$42))+1,""),ROW()-702)),"")</f>
        <v/>
      </c>
      <c r="D709" s="99" t="str">
        <f t="shared" ref="D709:D737" si="37">IF(AND(B709&lt;&gt;"",C709&lt;&gt;""),"N/T","")</f>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101</v>
      </c>
      <c r="B740" s="23" t="s">
        <v>93</v>
      </c>
      <c r="C740" s="24" t="s">
        <v>163</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https://www.comunidad.madrid/pjus_sede/</v>
      </c>
      <c r="D741" s="99" t="s">
        <v>94</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Accesibilidad</v>
      </c>
      <c r="C742" s="85" t="str" cm="1">
        <f t="array" ref="C742">IFERROR(INDEX('03.Muestra'!$F$8:$F$42,SMALL(IF("Página Web"='03.Muestra'!$D$8:$D$42,ROW('03.Muestra'!$F$8:$F$42)-MIN(ROW('03.Muestra'!$D$8:$D$42))+1,""),ROW()-740)),"")</f>
        <v>https://www.comunidad.madrid/pjus_sede/node/35</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6</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Conozca la sede</v>
      </c>
      <c r="C743" s="85" t="str" cm="1">
        <f t="array" ref="C743">IFERROR(INDEX('03.Muestra'!$F$8:$F$42,SMALL(IF("Página Web"='03.Muestra'!$D$8:$D$42,ROW('03.Muestra'!$F$8:$F$42)-MIN(ROW('03.Muestra'!$D$8:$D$42))+1,""),ROW()-740)),"")</f>
        <v>https://www.comunidad.madrid/pjus_sede/conozcalasede</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Tramites y servicios</v>
      </c>
      <c r="C744" s="85" t="str" cm="1">
        <f t="array" ref="C744">IFERROR(INDEX('03.Muestra'!$F$8:$F$42,SMALL(IF("Página Web"='03.Muestra'!$D$8:$D$42,ROW('03.Muestra'!$F$8:$F$42)-MIN(ROW('03.Muestra'!$D$8:$D$42))+1,""),ROW()-740)),"")</f>
        <v>https://www.comunidad.madrid/pjus_sede/tramitesyservicios</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Ayuda</v>
      </c>
      <c r="C745" s="85" t="str" cm="1">
        <f t="array" ref="C745">IFERROR(INDEX('03.Muestra'!$F$8:$F$42,SMALL(IF("Página Web"='03.Muestra'!$D$8:$D$42,ROW('03.Muestra'!$F$8:$F$42)-MIN(ROW('03.Muestra'!$D$8:$D$42))+1,""),ROW()-740)),"")</f>
        <v>https://www.comunidad.madrid/pjus_sede/ayuda</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Resultados de búsqueda</v>
      </c>
      <c r="C746" s="85" t="str" cm="1">
        <f t="array" ref="C746">IFERROR(INDEX('03.Muestra'!$F$8:$F$42,SMALL(IF("Página Web"='03.Muestra'!$D$8:$D$42,ROW('03.Muestra'!$F$8:$F$42)-MIN(ROW('03.Muestra'!$D$8:$D$42))+1,""),ROW()-740)),"")</f>
        <v>https://www.comunidad.madrid/pjus_sede/search/node/sugerencias</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IFERROR(INDEX('03.Muestra'!$B$8:$B$42,SMALL(IF("Página Web"='03.Muestra'!$D$8:$D$42,ROW('03.Muestra'!$B$8:$B$42)-MIN(ROW('03.Muestra'!$D$8:$D$42))+1,""),ROW()-740)),"")</f>
        <v/>
      </c>
      <c r="B747" s="85" t="str" cm="1">
        <f t="array" ref="B747">IFERROR(INDEX('03.Muestra'!$C$8:$C$42,SMALL(IF("Página Web"='03.Muestra'!$D$8:$D$42,ROW('03.Muestra'!$C$8:$C$42)-MIN(ROW('03.Muestra'!$D$8:$D$42))+1,""),ROW()-740)),"")</f>
        <v/>
      </c>
      <c r="C747" s="85" t="str" cm="1">
        <f t="array" ref="C747">IFERROR(INDEX('03.Muestra'!$F$8:$F$42,SMALL(IF("Página Web"='03.Muestra'!$D$8:$D$42,ROW('03.Muestra'!$F$8:$F$42)-MIN(ROW('03.Muestra'!$D$8:$D$42))+1,""),ROW()-740)),"")</f>
        <v/>
      </c>
      <c r="D747" s="99" t="str">
        <f t="shared" ref="D747:D775" si="39">IF(AND(B747&lt;&gt;"",C747&lt;&gt;""),"N/T","")</f>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IFERROR(INDEX('03.Muestra'!$B$8:$B$42,SMALL(IF("Página Web"='03.Muestra'!$D$8:$D$42,ROW('03.Muestra'!$B$8:$B$42)-MIN(ROW('03.Muestra'!$D$8:$D$42))+1,""),ROW()-740)),"")</f>
        <v/>
      </c>
      <c r="B748" s="85" t="str" cm="1">
        <f t="array" ref="B748">IFERROR(INDEX('03.Muestra'!$C$8:$C$42,SMALL(IF("Página Web"='03.Muestra'!$D$8:$D$42,ROW('03.Muestra'!$C$8:$C$42)-MIN(ROW('03.Muestra'!$D$8:$D$42))+1,""),ROW()-740)),"")</f>
        <v/>
      </c>
      <c r="C748" s="85" t="str" cm="1">
        <f t="array" ref="C748">IFERROR(INDEX('03.Muestra'!$F$8:$F$42,SMALL(IF("Página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101</v>
      </c>
      <c r="B778" s="23" t="s">
        <v>93</v>
      </c>
      <c r="C778" s="24" t="s">
        <v>164</v>
      </c>
      <c r="D778" s="25" t="s">
        <v>103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https://www.comunidad.madrid/pjus_sede/</v>
      </c>
      <c r="D779" s="99" t="s">
        <v>94</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Accesibilidad</v>
      </c>
      <c r="C780" s="85" t="str" cm="1">
        <f t="array" ref="C780">IFERROR(INDEX('03.Muestra'!$F$8:$F$42,SMALL(IF("Página Web"='03.Muestra'!$D$8:$D$42,ROW('03.Muestra'!$F$8:$F$42)-MIN(ROW('03.Muestra'!$D$8:$D$42))+1,""),ROW()-778)),"")</f>
        <v>https://www.comunidad.madrid/pjus_sede/node/35</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6</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Conozca la sede</v>
      </c>
      <c r="C781" s="85" t="str" cm="1">
        <f t="array" ref="C781">IFERROR(INDEX('03.Muestra'!$F$8:$F$42,SMALL(IF("Página Web"='03.Muestra'!$D$8:$D$42,ROW('03.Muestra'!$F$8:$F$42)-MIN(ROW('03.Muestra'!$D$8:$D$42))+1,""),ROW()-778)),"")</f>
        <v>https://www.comunidad.madrid/pjus_sede/conozcalasede</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Tramites y servicios</v>
      </c>
      <c r="C782" s="85" t="str" cm="1">
        <f t="array" ref="C782">IFERROR(INDEX('03.Muestra'!$F$8:$F$42,SMALL(IF("Página Web"='03.Muestra'!$D$8:$D$42,ROW('03.Muestra'!$F$8:$F$42)-MIN(ROW('03.Muestra'!$D$8:$D$42))+1,""),ROW()-778)),"")</f>
        <v>https://www.comunidad.madrid/pjus_sede/tramitesyservicios</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Ayuda</v>
      </c>
      <c r="C783" s="85" t="str" cm="1">
        <f t="array" ref="C783">IFERROR(INDEX('03.Muestra'!$F$8:$F$42,SMALL(IF("Página Web"='03.Muestra'!$D$8:$D$42,ROW('03.Muestra'!$F$8:$F$42)-MIN(ROW('03.Muestra'!$D$8:$D$42))+1,""),ROW()-778)),"")</f>
        <v>https://www.comunidad.madrid/pjus_sede/ayuda</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Resultados de búsqueda</v>
      </c>
      <c r="C784" s="85" t="str" cm="1">
        <f t="array" ref="C784">IFERROR(INDEX('03.Muestra'!$F$8:$F$42,SMALL(IF("Página Web"='03.Muestra'!$D$8:$D$42,ROW('03.Muestra'!$F$8:$F$42)-MIN(ROW('03.Muestra'!$D$8:$D$42))+1,""),ROW()-778)),"")</f>
        <v>https://www.comunidad.madrid/pjus_sede/search/node/sugerencias</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t="str" cm="1">
        <f t="array" ref="A785">IFERROR(INDEX('03.Muestra'!$B$8:$B$42,SMALL(IF("Página Web"='03.Muestra'!$D$8:$D$42,ROW('03.Muestra'!$B$8:$B$42)-MIN(ROW('03.Muestra'!$D$8:$D$42))+1,""),ROW()-778)),"")</f>
        <v/>
      </c>
      <c r="B785" s="85" t="str" cm="1">
        <f t="array" ref="B785">IFERROR(INDEX('03.Muestra'!$C$8:$C$42,SMALL(IF("Página Web"='03.Muestra'!$D$8:$D$42,ROW('03.Muestra'!$C$8:$C$42)-MIN(ROW('03.Muestra'!$D$8:$D$42))+1,""),ROW()-778)),"")</f>
        <v/>
      </c>
      <c r="C785" s="85" t="str" cm="1">
        <f t="array" ref="C785">IFERROR(INDEX('03.Muestra'!$F$8:$F$42,SMALL(IF("Página Web"='03.Muestra'!$D$8:$D$42,ROW('03.Muestra'!$F$8:$F$42)-MIN(ROW('03.Muestra'!$D$8:$D$42))+1,""),ROW()-778)),"")</f>
        <v/>
      </c>
      <c r="D785" s="99" t="str">
        <f t="shared" ref="D785:D813" si="41">IF(AND(B785&lt;&gt;"",C785&lt;&gt;""),"N/T","")</f>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t="str" cm="1">
        <f t="array" ref="A786">IFERROR(INDEX('03.Muestra'!$B$8:$B$42,SMALL(IF("Página Web"='03.Muestra'!$D$8:$D$42,ROW('03.Muestra'!$B$8:$B$42)-MIN(ROW('03.Muestra'!$D$8:$D$42))+1,""),ROW()-778)),"")</f>
        <v/>
      </c>
      <c r="B786" s="85" t="str" cm="1">
        <f t="array" ref="B786">IFERROR(INDEX('03.Muestra'!$C$8:$C$42,SMALL(IF("Página Web"='03.Muestra'!$D$8:$D$42,ROW('03.Muestra'!$C$8:$C$42)-MIN(ROW('03.Muestra'!$D$8:$D$42))+1,""),ROW()-778)),"")</f>
        <v/>
      </c>
      <c r="C786" s="85" t="str" cm="1">
        <f t="array" ref="C786">IFERROR(INDEX('03.Muestra'!$F$8:$F$42,SMALL(IF("Página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101</v>
      </c>
      <c r="B816" s="23" t="s">
        <v>93</v>
      </c>
      <c r="C816" s="24" t="s">
        <v>165</v>
      </c>
      <c r="D816" s="25" t="s">
        <v>103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https://www.comunidad.madrid/pjus_sede/</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Accesibilidad</v>
      </c>
      <c r="C818" s="85" t="str" cm="1">
        <f t="array" ref="C818">IFERROR(INDEX('03.Muestra'!$F$8:$F$42,SMALL(IF("Página Web"='03.Muestra'!$D$8:$D$42,ROW('03.Muestra'!$F$8:$F$42)-MIN(ROW('03.Muestra'!$D$8:$D$42))+1,""),ROW()-816)),"")</f>
        <v>https://www.comunidad.madrid/pjus_sede/node/35</v>
      </c>
      <c r="D818" s="99" t="s">
        <v>106</v>
      </c>
      <c r="E818" s="79" t="str">
        <f t="shared" si="42"/>
        <v/>
      </c>
      <c r="F818" s="91">
        <f ca="1">COUNTIF($D817:INDIRECT("$D" &amp;  SUM(ROW()-1,'03.Muestra'!$D$45)-1),F817)</f>
        <v>0</v>
      </c>
      <c r="G818" s="91">
        <f ca="1">COUNTIF($D817:INDIRECT("$D" &amp;  SUM(ROW()-1,'03.Muestra'!$D$45)-1),G817)</f>
        <v>0</v>
      </c>
      <c r="H818" s="91">
        <f ca="1">COUNTIF($D817:INDIRECT("$D" &amp;  SUM(ROW()-1,'03.Muestra'!$D$45)-1),H817)</f>
        <v>6</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Conozca la sede</v>
      </c>
      <c r="C819" s="85" t="str" cm="1">
        <f t="array" ref="C819">IFERROR(INDEX('03.Muestra'!$F$8:$F$42,SMALL(IF("Página Web"='03.Muestra'!$D$8:$D$42,ROW('03.Muestra'!$F$8:$F$42)-MIN(ROW('03.Muestra'!$D$8:$D$42))+1,""),ROW()-816)),"")</f>
        <v>https://www.comunidad.madrid/pjus_sede/conozcalasede</v>
      </c>
      <c r="D819" s="99" t="s">
        <v>106</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Tramites y servicios</v>
      </c>
      <c r="C820" s="85" t="str" cm="1">
        <f t="array" ref="C820">IFERROR(INDEX('03.Muestra'!$F$8:$F$42,SMALL(IF("Página Web"='03.Muestra'!$D$8:$D$42,ROW('03.Muestra'!$F$8:$F$42)-MIN(ROW('03.Muestra'!$D$8:$D$42))+1,""),ROW()-816)),"")</f>
        <v>https://www.comunidad.madrid/pjus_sede/tramitesyservicios</v>
      </c>
      <c r="D820" s="99" t="s">
        <v>106</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Ayuda</v>
      </c>
      <c r="C821" s="85" t="str" cm="1">
        <f t="array" ref="C821">IFERROR(INDEX('03.Muestra'!$F$8:$F$42,SMALL(IF("Página Web"='03.Muestra'!$D$8:$D$42,ROW('03.Muestra'!$F$8:$F$42)-MIN(ROW('03.Muestra'!$D$8:$D$42))+1,""),ROW()-816)),"")</f>
        <v>https://www.comunidad.madrid/pjus_sede/ayuda</v>
      </c>
      <c r="D821" s="99" t="s">
        <v>106</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Resultados de búsqueda</v>
      </c>
      <c r="C822" s="85" t="str" cm="1">
        <f t="array" ref="C822">IFERROR(INDEX('03.Muestra'!$F$8:$F$42,SMALL(IF("Página Web"='03.Muestra'!$D$8:$D$42,ROW('03.Muestra'!$F$8:$F$42)-MIN(ROW('03.Muestra'!$D$8:$D$42))+1,""),ROW()-816)),"")</f>
        <v>https://www.comunidad.madrid/pjus_sede/search/node/sugerencias</v>
      </c>
      <c r="D822" s="99" t="s">
        <v>106</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t="str" cm="1">
        <f t="array" ref="A823">IFERROR(INDEX('03.Muestra'!$B$8:$B$42,SMALL(IF("Página Web"='03.Muestra'!$D$8:$D$42,ROW('03.Muestra'!$B$8:$B$42)-MIN(ROW('03.Muestra'!$D$8:$D$42))+1,""),ROW()-816)),"")</f>
        <v/>
      </c>
      <c r="B823" s="85" t="str" cm="1">
        <f t="array" ref="B823">IFERROR(INDEX('03.Muestra'!$C$8:$C$42,SMALL(IF("Página Web"='03.Muestra'!$D$8:$D$42,ROW('03.Muestra'!$C$8:$C$42)-MIN(ROW('03.Muestra'!$D$8:$D$42))+1,""),ROW()-816)),"")</f>
        <v/>
      </c>
      <c r="C823" s="85" t="str" cm="1">
        <f t="array" ref="C823">IFERROR(INDEX('03.Muestra'!$F$8:$F$42,SMALL(IF("Página Web"='03.Muestra'!$D$8:$D$42,ROW('03.Muestra'!$F$8:$F$42)-MIN(ROW('03.Muestra'!$D$8:$D$42))+1,""),ROW()-816)),"")</f>
        <v/>
      </c>
      <c r="D823" s="99" t="str">
        <f t="shared" ref="D823:D851" si="43">IF(AND(B823&lt;&gt;"",C823&lt;&gt;""),"N/T","")</f>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t="str" cm="1">
        <f t="array" ref="A824">IFERROR(INDEX('03.Muestra'!$B$8:$B$42,SMALL(IF("Página Web"='03.Muestra'!$D$8:$D$42,ROW('03.Muestra'!$B$8:$B$42)-MIN(ROW('03.Muestra'!$D$8:$D$42))+1,""),ROW()-816)),"")</f>
        <v/>
      </c>
      <c r="B824" s="85" t="str" cm="1">
        <f t="array" ref="B824">IFERROR(INDEX('03.Muestra'!$C$8:$C$42,SMALL(IF("Página Web"='03.Muestra'!$D$8:$D$42,ROW('03.Muestra'!$C$8:$C$42)-MIN(ROW('03.Muestra'!$D$8:$D$42))+1,""),ROW()-816)),"")</f>
        <v/>
      </c>
      <c r="C824" s="85" t="str" cm="1">
        <f t="array" ref="C824">IFERROR(INDEX('03.Muestra'!$F$8:$F$42,SMALL(IF("Página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101</v>
      </c>
      <c r="B854" s="23" t="s">
        <v>93</v>
      </c>
      <c r="C854" s="24" t="s">
        <v>166</v>
      </c>
      <c r="D854" s="25" t="s">
        <v>103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https://www.comunidad.madrid/pjus_sede/</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Accesibilidad</v>
      </c>
      <c r="C856" s="85" t="str" cm="1">
        <f t="array" ref="C856">IFERROR(INDEX('03.Muestra'!$F$8:$F$42,SMALL(IF("Página Web"='03.Muestra'!$D$8:$D$42,ROW('03.Muestra'!$F$8:$F$42)-MIN(ROW('03.Muestra'!$D$8:$D$42))+1,""),ROW()-854)),"")</f>
        <v>https://www.comunidad.madrid/pjus_sede/node/35</v>
      </c>
      <c r="D856" s="99" t="s">
        <v>106</v>
      </c>
      <c r="E856" s="79" t="str">
        <f t="shared" si="44"/>
        <v/>
      </c>
      <c r="F856" s="91">
        <f ca="1">COUNTIF($D855:INDIRECT("$D" &amp;  SUM(ROW()-1,'03.Muestra'!$D$45)-1),F855)</f>
        <v>0</v>
      </c>
      <c r="G856" s="91">
        <f ca="1">COUNTIF($D855:INDIRECT("$D" &amp;  SUM(ROW()-1,'03.Muestra'!$D$45)-1),G855)</f>
        <v>0</v>
      </c>
      <c r="H856" s="91">
        <f ca="1">COUNTIF($D855:INDIRECT("$D" &amp;  SUM(ROW()-1,'03.Muestra'!$D$45)-1),H855)</f>
        <v>6</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Conozca la sede</v>
      </c>
      <c r="C857" s="85" t="str" cm="1">
        <f t="array" ref="C857">IFERROR(INDEX('03.Muestra'!$F$8:$F$42,SMALL(IF("Página Web"='03.Muestra'!$D$8:$D$42,ROW('03.Muestra'!$F$8:$F$42)-MIN(ROW('03.Muestra'!$D$8:$D$42))+1,""),ROW()-854)),"")</f>
        <v>https://www.comunidad.madrid/pjus_sede/conozcalasede</v>
      </c>
      <c r="D857" s="99" t="s">
        <v>106</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Tramites y servicios</v>
      </c>
      <c r="C858" s="85" t="str" cm="1">
        <f t="array" ref="C858">IFERROR(INDEX('03.Muestra'!$F$8:$F$42,SMALL(IF("Página Web"='03.Muestra'!$D$8:$D$42,ROW('03.Muestra'!$F$8:$F$42)-MIN(ROW('03.Muestra'!$D$8:$D$42))+1,""),ROW()-854)),"")</f>
        <v>https://www.comunidad.madrid/pjus_sede/tramitesyservicios</v>
      </c>
      <c r="D858" s="99" t="s">
        <v>106</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Ayuda</v>
      </c>
      <c r="C859" s="85" t="str" cm="1">
        <f t="array" ref="C859">IFERROR(INDEX('03.Muestra'!$F$8:$F$42,SMALL(IF("Página Web"='03.Muestra'!$D$8:$D$42,ROW('03.Muestra'!$F$8:$F$42)-MIN(ROW('03.Muestra'!$D$8:$D$42))+1,""),ROW()-854)),"")</f>
        <v>https://www.comunidad.madrid/pjus_sede/ayuda</v>
      </c>
      <c r="D859" s="99" t="s">
        <v>106</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Resultados de búsqueda</v>
      </c>
      <c r="C860" s="85" t="str" cm="1">
        <f t="array" ref="C860">IFERROR(INDEX('03.Muestra'!$F$8:$F$42,SMALL(IF("Página Web"='03.Muestra'!$D$8:$D$42,ROW('03.Muestra'!$F$8:$F$42)-MIN(ROW('03.Muestra'!$D$8:$D$42))+1,""),ROW()-854)),"")</f>
        <v>https://www.comunidad.madrid/pjus_sede/search/node/sugerencias</v>
      </c>
      <c r="D860" s="99" t="s">
        <v>106</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t="str" cm="1">
        <f t="array" ref="A861">IFERROR(INDEX('03.Muestra'!$B$8:$B$42,SMALL(IF("Página Web"='03.Muestra'!$D$8:$D$42,ROW('03.Muestra'!$B$8:$B$42)-MIN(ROW('03.Muestra'!$D$8:$D$42))+1,""),ROW()-854)),"")</f>
        <v/>
      </c>
      <c r="B861" s="85" t="str" cm="1">
        <f t="array" ref="B861">IFERROR(INDEX('03.Muestra'!$C$8:$C$42,SMALL(IF("Página Web"='03.Muestra'!$D$8:$D$42,ROW('03.Muestra'!$C$8:$C$42)-MIN(ROW('03.Muestra'!$D$8:$D$42))+1,""),ROW()-854)),"")</f>
        <v/>
      </c>
      <c r="C861" s="85" t="str" cm="1">
        <f t="array" ref="C861">IFERROR(INDEX('03.Muestra'!$F$8:$F$42,SMALL(IF("Página Web"='03.Muestra'!$D$8:$D$42,ROW('03.Muestra'!$F$8:$F$42)-MIN(ROW('03.Muestra'!$D$8:$D$42))+1,""),ROW()-854)),"")</f>
        <v/>
      </c>
      <c r="D861" s="99" t="str">
        <f t="shared" ref="D861:D889" si="45">IF(AND(B861&lt;&gt;"",C861&lt;&gt;""),"N/T","")</f>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t="str" cm="1">
        <f t="array" ref="A862">IFERROR(INDEX('03.Muestra'!$B$8:$B$42,SMALL(IF("Página Web"='03.Muestra'!$D$8:$D$42,ROW('03.Muestra'!$B$8:$B$42)-MIN(ROW('03.Muestra'!$D$8:$D$42))+1,""),ROW()-854)),"")</f>
        <v/>
      </c>
      <c r="B862" s="85" t="str" cm="1">
        <f t="array" ref="B862">IFERROR(INDEX('03.Muestra'!$C$8:$C$42,SMALL(IF("Página Web"='03.Muestra'!$D$8:$D$42,ROW('03.Muestra'!$C$8:$C$42)-MIN(ROW('03.Muestra'!$D$8:$D$42))+1,""),ROW()-854)),"")</f>
        <v/>
      </c>
      <c r="C862" s="85" t="str" cm="1">
        <f t="array" ref="C862">IFERROR(INDEX('03.Muestra'!$F$8:$F$42,SMALL(IF("Página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101</v>
      </c>
      <c r="B892" s="23" t="s">
        <v>93</v>
      </c>
      <c r="C892" s="24" t="s">
        <v>167</v>
      </c>
      <c r="D892" s="25" t="s">
        <v>103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https://www.comunidad.madrid/pjus_sede/</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Accesibilidad</v>
      </c>
      <c r="C894" s="85" t="str" cm="1">
        <f t="array" ref="C894">IFERROR(INDEX('03.Muestra'!$F$8:$F$42,SMALL(IF("Página Web"='03.Muestra'!$D$8:$D$42,ROW('03.Muestra'!$F$8:$F$42)-MIN(ROW('03.Muestra'!$D$8:$D$42))+1,""),ROW()-892)),"")</f>
        <v>https://www.comunidad.madrid/pjus_sede/node/35</v>
      </c>
      <c r="D894" s="99" t="s">
        <v>106</v>
      </c>
      <c r="E894" s="79" t="str">
        <f t="shared" si="46"/>
        <v/>
      </c>
      <c r="F894" s="91">
        <f ca="1">COUNTIF($D893:INDIRECT("$D" &amp;  SUM(ROW()-1,'03.Muestra'!$D$45)-1),F893)</f>
        <v>0</v>
      </c>
      <c r="G894" s="91">
        <f ca="1">COUNTIF($D893:INDIRECT("$D" &amp;  SUM(ROW()-1,'03.Muestra'!$D$45)-1),G893)</f>
        <v>0</v>
      </c>
      <c r="H894" s="91">
        <f ca="1">COUNTIF($D893:INDIRECT("$D" &amp;  SUM(ROW()-1,'03.Muestra'!$D$45)-1),H893)</f>
        <v>6</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Conozca la sede</v>
      </c>
      <c r="C895" s="85" t="str" cm="1">
        <f t="array" ref="C895">IFERROR(INDEX('03.Muestra'!$F$8:$F$42,SMALL(IF("Página Web"='03.Muestra'!$D$8:$D$42,ROW('03.Muestra'!$F$8:$F$42)-MIN(ROW('03.Muestra'!$D$8:$D$42))+1,""),ROW()-892)),"")</f>
        <v>https://www.comunidad.madrid/pjus_sede/conozcalasede</v>
      </c>
      <c r="D895" s="99" t="s">
        <v>106</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Tramites y servicios</v>
      </c>
      <c r="C896" s="85" t="str" cm="1">
        <f t="array" ref="C896">IFERROR(INDEX('03.Muestra'!$F$8:$F$42,SMALL(IF("Página Web"='03.Muestra'!$D$8:$D$42,ROW('03.Muestra'!$F$8:$F$42)-MIN(ROW('03.Muestra'!$D$8:$D$42))+1,""),ROW()-892)),"")</f>
        <v>https://www.comunidad.madrid/pjus_sede/tramitesyservicios</v>
      </c>
      <c r="D896" s="99" t="s">
        <v>106</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Ayuda</v>
      </c>
      <c r="C897" s="85" t="str" cm="1">
        <f t="array" ref="C897">IFERROR(INDEX('03.Muestra'!$F$8:$F$42,SMALL(IF("Página Web"='03.Muestra'!$D$8:$D$42,ROW('03.Muestra'!$F$8:$F$42)-MIN(ROW('03.Muestra'!$D$8:$D$42))+1,""),ROW()-892)),"")</f>
        <v>https://www.comunidad.madrid/pjus_sede/ayuda</v>
      </c>
      <c r="D897" s="99" t="s">
        <v>106</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Resultados de búsqueda</v>
      </c>
      <c r="C898" s="85" t="str" cm="1">
        <f t="array" ref="C898">IFERROR(INDEX('03.Muestra'!$F$8:$F$42,SMALL(IF("Página Web"='03.Muestra'!$D$8:$D$42,ROW('03.Muestra'!$F$8:$F$42)-MIN(ROW('03.Muestra'!$D$8:$D$42))+1,""),ROW()-892)),"")</f>
        <v>https://www.comunidad.madrid/pjus_sede/search/node/sugerencias</v>
      </c>
      <c r="D898" s="99" t="s">
        <v>106</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t="str" cm="1">
        <f t="array" ref="A899">IFERROR(INDEX('03.Muestra'!$B$8:$B$42,SMALL(IF("Página Web"='03.Muestra'!$D$8:$D$42,ROW('03.Muestra'!$B$8:$B$42)-MIN(ROW('03.Muestra'!$D$8:$D$42))+1,""),ROW()-892)),"")</f>
        <v/>
      </c>
      <c r="B899" s="85" t="str" cm="1">
        <f t="array" ref="B899">IFERROR(INDEX('03.Muestra'!$C$8:$C$42,SMALL(IF("Página Web"='03.Muestra'!$D$8:$D$42,ROW('03.Muestra'!$C$8:$C$42)-MIN(ROW('03.Muestra'!$D$8:$D$42))+1,""),ROW()-892)),"")</f>
        <v/>
      </c>
      <c r="C899" s="85" t="str" cm="1">
        <f t="array" ref="C899">IFERROR(INDEX('03.Muestra'!$F$8:$F$42,SMALL(IF("Página Web"='03.Muestra'!$D$8:$D$42,ROW('03.Muestra'!$F$8:$F$42)-MIN(ROW('03.Muestra'!$D$8:$D$42))+1,""),ROW()-892)),"")</f>
        <v/>
      </c>
      <c r="D899" s="99" t="str">
        <f t="shared" ref="D899:D927" si="47">IF(AND(B899&lt;&gt;"",C899&lt;&gt;""),"N/T","")</f>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t="str" cm="1">
        <f t="array" ref="A900">IFERROR(INDEX('03.Muestra'!$B$8:$B$42,SMALL(IF("Página Web"='03.Muestra'!$D$8:$D$42,ROW('03.Muestra'!$B$8:$B$42)-MIN(ROW('03.Muestra'!$D$8:$D$42))+1,""),ROW()-892)),"")</f>
        <v/>
      </c>
      <c r="B900" s="85" t="str" cm="1">
        <f t="array" ref="B900">IFERROR(INDEX('03.Muestra'!$C$8:$C$42,SMALL(IF("Página Web"='03.Muestra'!$D$8:$D$42,ROW('03.Muestra'!$C$8:$C$42)-MIN(ROW('03.Muestra'!$D$8:$D$42))+1,""),ROW()-892)),"")</f>
        <v/>
      </c>
      <c r="C900" s="85" t="str" cm="1">
        <f t="array" ref="C900">IFERROR(INDEX('03.Muestra'!$F$8:$F$42,SMALL(IF("Página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101</v>
      </c>
      <c r="B930" s="23" t="s">
        <v>93</v>
      </c>
      <c r="C930" s="24" t="s">
        <v>168</v>
      </c>
      <c r="D930" s="25" t="s">
        <v>103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https://www.comunidad.madrid/pjus_sede/</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Accesibilidad</v>
      </c>
      <c r="C932" s="85" t="str" cm="1">
        <f t="array" ref="C932">IFERROR(INDEX('03.Muestra'!$F$8:$F$42,SMALL(IF("Página Web"='03.Muestra'!$D$8:$D$42,ROW('03.Muestra'!$F$8:$F$42)-MIN(ROW('03.Muestra'!$D$8:$D$42))+1,""),ROW()-930)),"")</f>
        <v>https://www.comunidad.madrid/pjus_sede/node/35</v>
      </c>
      <c r="D932" s="99" t="s">
        <v>106</v>
      </c>
      <c r="E932" s="79" t="str">
        <f t="shared" si="48"/>
        <v/>
      </c>
      <c r="F932" s="91">
        <f ca="1">COUNTIF($D931:INDIRECT("$D" &amp;  SUM(ROW()-1,'03.Muestra'!$D$45)-1),F931)</f>
        <v>0</v>
      </c>
      <c r="G932" s="91">
        <f ca="1">COUNTIF($D931:INDIRECT("$D" &amp;  SUM(ROW()-1,'03.Muestra'!$D$45)-1),G931)</f>
        <v>0</v>
      </c>
      <c r="H932" s="91">
        <f ca="1">COUNTIF($D931:INDIRECT("$D" &amp;  SUM(ROW()-1,'03.Muestra'!$D$45)-1),H931)</f>
        <v>6</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Conozca la sede</v>
      </c>
      <c r="C933" s="85" t="str" cm="1">
        <f t="array" ref="C933">IFERROR(INDEX('03.Muestra'!$F$8:$F$42,SMALL(IF("Página Web"='03.Muestra'!$D$8:$D$42,ROW('03.Muestra'!$F$8:$F$42)-MIN(ROW('03.Muestra'!$D$8:$D$42))+1,""),ROW()-930)),"")</f>
        <v>https://www.comunidad.madrid/pjus_sede/conozcalasede</v>
      </c>
      <c r="D933" s="99" t="s">
        <v>106</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Tramites y servicios</v>
      </c>
      <c r="C934" s="85" t="str" cm="1">
        <f t="array" ref="C934">IFERROR(INDEX('03.Muestra'!$F$8:$F$42,SMALL(IF("Página Web"='03.Muestra'!$D$8:$D$42,ROW('03.Muestra'!$F$8:$F$42)-MIN(ROW('03.Muestra'!$D$8:$D$42))+1,""),ROW()-930)),"")</f>
        <v>https://www.comunidad.madrid/pjus_sede/tramitesyservicios</v>
      </c>
      <c r="D934" s="99" t="s">
        <v>106</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Ayuda</v>
      </c>
      <c r="C935" s="85" t="str" cm="1">
        <f t="array" ref="C935">IFERROR(INDEX('03.Muestra'!$F$8:$F$42,SMALL(IF("Página Web"='03.Muestra'!$D$8:$D$42,ROW('03.Muestra'!$F$8:$F$42)-MIN(ROW('03.Muestra'!$D$8:$D$42))+1,""),ROW()-930)),"")</f>
        <v>https://www.comunidad.madrid/pjus_sede/ayuda</v>
      </c>
      <c r="D935" s="99" t="s">
        <v>106</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Resultados de búsqueda</v>
      </c>
      <c r="C936" s="85" t="str" cm="1">
        <f t="array" ref="C936">IFERROR(INDEX('03.Muestra'!$F$8:$F$42,SMALL(IF("Página Web"='03.Muestra'!$D$8:$D$42,ROW('03.Muestra'!$F$8:$F$42)-MIN(ROW('03.Muestra'!$D$8:$D$42))+1,""),ROW()-930)),"")</f>
        <v>https://www.comunidad.madrid/pjus_sede/search/node/sugerencias</v>
      </c>
      <c r="D936" s="99" t="s">
        <v>106</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t="str" cm="1">
        <f t="array" ref="A937">IFERROR(INDEX('03.Muestra'!$B$8:$B$42,SMALL(IF("Página Web"='03.Muestra'!$D$8:$D$42,ROW('03.Muestra'!$B$8:$B$42)-MIN(ROW('03.Muestra'!$D$8:$D$42))+1,""),ROW()-930)),"")</f>
        <v/>
      </c>
      <c r="B937" s="85" t="str" cm="1">
        <f t="array" ref="B937">IFERROR(INDEX('03.Muestra'!$C$8:$C$42,SMALL(IF("Página Web"='03.Muestra'!$D$8:$D$42,ROW('03.Muestra'!$C$8:$C$42)-MIN(ROW('03.Muestra'!$D$8:$D$42))+1,""),ROW()-930)),"")</f>
        <v/>
      </c>
      <c r="C937" s="85" t="str" cm="1">
        <f t="array" ref="C937">IFERROR(INDEX('03.Muestra'!$F$8:$F$42,SMALL(IF("Página Web"='03.Muestra'!$D$8:$D$42,ROW('03.Muestra'!$F$8:$F$42)-MIN(ROW('03.Muestra'!$D$8:$D$42))+1,""),ROW()-930)),"")</f>
        <v/>
      </c>
      <c r="D937" s="99" t="str">
        <f t="shared" ref="D937:D965" si="49">IF(AND(B937&lt;&gt;"",C937&lt;&gt;""),"N/T","")</f>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t="str" cm="1">
        <f t="array" ref="A938">IFERROR(INDEX('03.Muestra'!$B$8:$B$42,SMALL(IF("Página Web"='03.Muestra'!$D$8:$D$42,ROW('03.Muestra'!$B$8:$B$42)-MIN(ROW('03.Muestra'!$D$8:$D$42))+1,""),ROW()-930)),"")</f>
        <v/>
      </c>
      <c r="B938" s="85" t="str" cm="1">
        <f t="array" ref="B938">IFERROR(INDEX('03.Muestra'!$C$8:$C$42,SMALL(IF("Página Web"='03.Muestra'!$D$8:$D$42,ROW('03.Muestra'!$C$8:$C$42)-MIN(ROW('03.Muestra'!$D$8:$D$42))+1,""),ROW()-930)),"")</f>
        <v/>
      </c>
      <c r="C938" s="85" t="str" cm="1">
        <f t="array" ref="C938">IFERROR(INDEX('03.Muestra'!$F$8:$F$42,SMALL(IF("Página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101</v>
      </c>
      <c r="B968" s="23" t="s">
        <v>93</v>
      </c>
      <c r="C968" s="24" t="s">
        <v>169</v>
      </c>
      <c r="D968" s="25" t="s">
        <v>103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https://www.comunidad.madrid/pjus_sede/</v>
      </c>
      <c r="D969" s="99" t="s">
        <v>106</v>
      </c>
      <c r="E969" s="79" t="str">
        <f t="shared" ref="E969:E1003"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Accesibilidad</v>
      </c>
      <c r="C970" s="85" t="str" cm="1">
        <f t="array" ref="C970">IFERROR(INDEX('03.Muestra'!$F$8:$F$42,SMALL(IF("Página Web"='03.Muestra'!$D$8:$D$42,ROW('03.Muestra'!$F$8:$F$42)-MIN(ROW('03.Muestra'!$D$8:$D$42))+1,""),ROW()-968)),"")</f>
        <v>https://www.comunidad.madrid/pjus_sede/node/35</v>
      </c>
      <c r="D970" s="99" t="s">
        <v>106</v>
      </c>
      <c r="E970" s="79" t="str">
        <f t="shared" si="50"/>
        <v/>
      </c>
      <c r="F970" s="91">
        <f ca="1">COUNTIF($D969:INDIRECT("$D" &amp;  SUM(ROW()-1,'03.Muestra'!$D$45)-1),F969)</f>
        <v>0</v>
      </c>
      <c r="G970" s="91">
        <f ca="1">COUNTIF($D969:INDIRECT("$D" &amp;  SUM(ROW()-1,'03.Muestra'!$D$45)-1),G969)</f>
        <v>0</v>
      </c>
      <c r="H970" s="91">
        <f ca="1">COUNTIF($D969:INDIRECT("$D" &amp;  SUM(ROW()-1,'03.Muestra'!$D$45)-1),H969)</f>
        <v>3</v>
      </c>
      <c r="I970" s="91">
        <f ca="1">COUNTIF($D969:INDIRECT("$D" &amp;  SUM(ROW()-1,'03.Muestra'!$D$45)-1),I969)</f>
        <v>0</v>
      </c>
      <c r="J970" s="91">
        <f ca="1">COUNTIF($D969:INDIRECT("$D" &amp;  SUM(ROW()-1,'03.Muestra'!$D$45)-1),J969)</f>
        <v>3</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Conozca la sede</v>
      </c>
      <c r="C971" s="85" t="str" cm="1">
        <f t="array" ref="C971">IFERROR(INDEX('03.Muestra'!$F$8:$F$42,SMALL(IF("Página Web"='03.Muestra'!$D$8:$D$42,ROW('03.Muestra'!$F$8:$F$42)-MIN(ROW('03.Muestra'!$D$8:$D$42))+1,""),ROW()-968)),"")</f>
        <v>https://www.comunidad.madrid/pjus_sede/conozcalasede</v>
      </c>
      <c r="D971" s="99" t="s">
        <v>94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Tramites y servicios</v>
      </c>
      <c r="C972" s="85" t="str" cm="1">
        <f t="array" ref="C972">IFERROR(INDEX('03.Muestra'!$F$8:$F$42,SMALL(IF("Página Web"='03.Muestra'!$D$8:$D$42,ROW('03.Muestra'!$F$8:$F$42)-MIN(ROW('03.Muestra'!$D$8:$D$42))+1,""),ROW()-968)),"")</f>
        <v>https://www.comunidad.madrid/pjus_sede/tramitesyservicios</v>
      </c>
      <c r="D972" s="99" t="s">
        <v>94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Ayuda</v>
      </c>
      <c r="C973" s="85" t="str" cm="1">
        <f t="array" ref="C973">IFERROR(INDEX('03.Muestra'!$F$8:$F$42,SMALL(IF("Página Web"='03.Muestra'!$D$8:$D$42,ROW('03.Muestra'!$F$8:$F$42)-MIN(ROW('03.Muestra'!$D$8:$D$42))+1,""),ROW()-968)),"")</f>
        <v>https://www.comunidad.madrid/pjus_sede/ayuda</v>
      </c>
      <c r="D973" s="99" t="s">
        <v>94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Resultados de búsqueda</v>
      </c>
      <c r="C974" s="85" t="str" cm="1">
        <f t="array" ref="C974">IFERROR(INDEX('03.Muestra'!$F$8:$F$42,SMALL(IF("Página Web"='03.Muestra'!$D$8:$D$42,ROW('03.Muestra'!$F$8:$F$42)-MIN(ROW('03.Muestra'!$D$8:$D$42))+1,""),ROW()-968)),"")</f>
        <v>https://www.comunidad.madrid/pjus_sede/search/node/sugerencias</v>
      </c>
      <c r="D974" s="99" t="s">
        <v>106</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t="str" cm="1">
        <f t="array" ref="A975">IFERROR(INDEX('03.Muestra'!$B$8:$B$42,SMALL(IF("Página Web"='03.Muestra'!$D$8:$D$42,ROW('03.Muestra'!$B$8:$B$42)-MIN(ROW('03.Muestra'!$D$8:$D$42))+1,""),ROW()-968)),"")</f>
        <v/>
      </c>
      <c r="B975" s="85" t="str" cm="1">
        <f t="array" ref="B975">IFERROR(INDEX('03.Muestra'!$C$8:$C$42,SMALL(IF("Página Web"='03.Muestra'!$D$8:$D$42,ROW('03.Muestra'!$C$8:$C$42)-MIN(ROW('03.Muestra'!$D$8:$D$42))+1,""),ROW()-968)),"")</f>
        <v/>
      </c>
      <c r="C975" s="85" t="str" cm="1">
        <f t="array" ref="C975">IFERROR(INDEX('03.Muestra'!$F$8:$F$42,SMALL(IF("Página Web"='03.Muestra'!$D$8:$D$42,ROW('03.Muestra'!$F$8:$F$42)-MIN(ROW('03.Muestra'!$D$8:$D$42))+1,""),ROW()-968)),"")</f>
        <v/>
      </c>
      <c r="D975" s="99" t="str">
        <f t="shared" ref="D975:D1003" si="51">IF(AND(B975&lt;&gt;"",C975&lt;&gt;""),"N/T","")</f>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t="str" cm="1">
        <f t="array" ref="A976">IFERROR(INDEX('03.Muestra'!$B$8:$B$42,SMALL(IF("Página Web"='03.Muestra'!$D$8:$D$42,ROW('03.Muestra'!$B$8:$B$42)-MIN(ROW('03.Muestra'!$D$8:$D$42))+1,""),ROW()-968)),"")</f>
        <v/>
      </c>
      <c r="B976" s="85" t="str" cm="1">
        <f t="array" ref="B976">IFERROR(INDEX('03.Muestra'!$C$8:$C$42,SMALL(IF("Página Web"='03.Muestra'!$D$8:$D$42,ROW('03.Muestra'!$C$8:$C$42)-MIN(ROW('03.Muestra'!$D$8:$D$42))+1,""),ROW()-968)),"")</f>
        <v/>
      </c>
      <c r="C976" s="85" t="str" cm="1">
        <f t="array" ref="C976">IFERROR(INDEX('03.Muestra'!$F$8:$F$42,SMALL(IF("Página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101</v>
      </c>
      <c r="B1006" s="23" t="s">
        <v>93</v>
      </c>
      <c r="C1006" s="24" t="s">
        <v>170</v>
      </c>
      <c r="D1006" s="25" t="s">
        <v>103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https://www.comunidad.madrid/pjus_sede/</v>
      </c>
      <c r="D1007" s="99" t="s">
        <v>94</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Accesibilidad</v>
      </c>
      <c r="C1008" s="85" t="str" cm="1">
        <f t="array" ref="C1008">IFERROR(INDEX('03.Muestra'!$F$8:$F$42,SMALL(IF("Página Web"='03.Muestra'!$D$8:$D$42,ROW('03.Muestra'!$F$8:$F$42)-MIN(ROW('03.Muestra'!$D$8:$D$42))+1,""),ROW()-1006)),"")</f>
        <v>https://www.comunidad.madrid/pjus_sede/node/35</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6</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Conozca la sede</v>
      </c>
      <c r="C1009" s="85" t="str" cm="1">
        <f t="array" ref="C1009">IFERROR(INDEX('03.Muestra'!$F$8:$F$42,SMALL(IF("Página Web"='03.Muestra'!$D$8:$D$42,ROW('03.Muestra'!$F$8:$F$42)-MIN(ROW('03.Muestra'!$D$8:$D$42))+1,""),ROW()-1006)),"")</f>
        <v>https://www.comunidad.madrid/pjus_sede/conozcalasede</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Tramites y servicios</v>
      </c>
      <c r="C1010" s="85" t="str" cm="1">
        <f t="array" ref="C1010">IFERROR(INDEX('03.Muestra'!$F$8:$F$42,SMALL(IF("Página Web"='03.Muestra'!$D$8:$D$42,ROW('03.Muestra'!$F$8:$F$42)-MIN(ROW('03.Muestra'!$D$8:$D$42))+1,""),ROW()-1006)),"")</f>
        <v>https://www.comunidad.madrid/pjus_sede/tramitesyservicios</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Ayuda</v>
      </c>
      <c r="C1011" s="85" t="str" cm="1">
        <f t="array" ref="C1011">IFERROR(INDEX('03.Muestra'!$F$8:$F$42,SMALL(IF("Página Web"='03.Muestra'!$D$8:$D$42,ROW('03.Muestra'!$F$8:$F$42)-MIN(ROW('03.Muestra'!$D$8:$D$42))+1,""),ROW()-1006)),"")</f>
        <v>https://www.comunidad.madrid/pjus_sede/ayuda</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Resultados de búsqueda</v>
      </c>
      <c r="C1012" s="85" t="str" cm="1">
        <f t="array" ref="C1012">IFERROR(INDEX('03.Muestra'!$F$8:$F$42,SMALL(IF("Página Web"='03.Muestra'!$D$8:$D$42,ROW('03.Muestra'!$F$8:$F$42)-MIN(ROW('03.Muestra'!$D$8:$D$42))+1,""),ROW()-1006)),"")</f>
        <v>https://www.comunidad.madrid/pjus_sede/search/node/sugerencias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t="str" cm="1">
        <f t="array" ref="A1013">IFERROR(INDEX('03.Muestra'!$B$8:$B$42,SMALL(IF("Página Web"='03.Muestra'!$D$8:$D$42,ROW('03.Muestra'!$B$8:$B$42)-MIN(ROW('03.Muestra'!$D$8:$D$42))+1,""),ROW()-1006)),"")</f>
        <v/>
      </c>
      <c r="B1013" s="85" t="str" cm="1">
        <f t="array" ref="B1013">IFERROR(INDEX('03.Muestra'!$C$8:$C$42,SMALL(IF("Página Web"='03.Muestra'!$D$8:$D$42,ROW('03.Muestra'!$C$8:$C$42)-MIN(ROW('03.Muestra'!$D$8:$D$42))+1,""),ROW()-1006)),"")</f>
        <v/>
      </c>
      <c r="C1013" s="85" t="str" cm="1">
        <f t="array" ref="C1013">IFERROR(INDEX('03.Muestra'!$F$8:$F$42,SMALL(IF("Página Web"='03.Muestra'!$D$8:$D$42,ROW('03.Muestra'!$F$8:$F$42)-MIN(ROW('03.Muestra'!$D$8:$D$42))+1,""),ROW()-1006)),"")</f>
        <v/>
      </c>
      <c r="D1013" s="99" t="str">
        <f t="shared" ref="D1013:D1041" si="53">IF(AND(B1013&lt;&gt;"",C1013&lt;&gt;""),"N/T","")</f>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t="str" cm="1">
        <f t="array" ref="A1014">IFERROR(INDEX('03.Muestra'!$B$8:$B$42,SMALL(IF("Página Web"='03.Muestra'!$D$8:$D$42,ROW('03.Muestra'!$B$8:$B$42)-MIN(ROW('03.Muestra'!$D$8:$D$42))+1,""),ROW()-1006)),"")</f>
        <v/>
      </c>
      <c r="B1014" s="85" t="str" cm="1">
        <f t="array" ref="B1014">IFERROR(INDEX('03.Muestra'!$C$8:$C$42,SMALL(IF("Página Web"='03.Muestra'!$D$8:$D$42,ROW('03.Muestra'!$C$8:$C$42)-MIN(ROW('03.Muestra'!$D$8:$D$42))+1,""),ROW()-1006)),"")</f>
        <v/>
      </c>
      <c r="C1014" s="85" t="str" cm="1">
        <f t="array" ref="C1014">IFERROR(INDEX('03.Muestra'!$F$8:$F$42,SMALL(IF("Página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101</v>
      </c>
      <c r="B1044" s="23" t="s">
        <v>93</v>
      </c>
      <c r="C1044" s="24" t="s">
        <v>171</v>
      </c>
      <c r="D1044" s="25" t="s">
        <v>103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https://www.comunidad.madrid/pjus_sede/</v>
      </c>
      <c r="D1045" s="99" t="s">
        <v>94</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Accesibilidad</v>
      </c>
      <c r="C1046" s="85" t="str" cm="1">
        <f t="array" ref="C1046">IFERROR(INDEX('03.Muestra'!$F$8:$F$42,SMALL(IF("Página Web"='03.Muestra'!$D$8:$D$42,ROW('03.Muestra'!$F$8:$F$42)-MIN(ROW('03.Muestra'!$D$8:$D$42))+1,""),ROW()-1044)),"")</f>
        <v>https://www.comunidad.madrid/pjus_sede/node/35</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6</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Conozca la sede</v>
      </c>
      <c r="C1047" s="85" t="str" cm="1">
        <f t="array" ref="C1047">IFERROR(INDEX('03.Muestra'!$F$8:$F$42,SMALL(IF("Página Web"='03.Muestra'!$D$8:$D$42,ROW('03.Muestra'!$F$8:$F$42)-MIN(ROW('03.Muestra'!$D$8:$D$42))+1,""),ROW()-1044)),"")</f>
        <v>https://www.comunidad.madrid/pjus_sede/conozcalasede</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Tramites y servicios</v>
      </c>
      <c r="C1048" s="85" t="str" cm="1">
        <f t="array" ref="C1048">IFERROR(INDEX('03.Muestra'!$F$8:$F$42,SMALL(IF("Página Web"='03.Muestra'!$D$8:$D$42,ROW('03.Muestra'!$F$8:$F$42)-MIN(ROW('03.Muestra'!$D$8:$D$42))+1,""),ROW()-1044)),"")</f>
        <v>https://www.comunidad.madrid/pjus_sede/tramitesyservicios</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Ayuda</v>
      </c>
      <c r="C1049" s="85" t="str" cm="1">
        <f t="array" ref="C1049">IFERROR(INDEX('03.Muestra'!$F$8:$F$42,SMALL(IF("Página Web"='03.Muestra'!$D$8:$D$42,ROW('03.Muestra'!$F$8:$F$42)-MIN(ROW('03.Muestra'!$D$8:$D$42))+1,""),ROW()-1044)),"")</f>
        <v>https://www.comunidad.madrid/pjus_sede/ayuda</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Resultados de búsqueda</v>
      </c>
      <c r="C1050" s="85" t="str" cm="1">
        <f t="array" ref="C1050">IFERROR(INDEX('03.Muestra'!$F$8:$F$42,SMALL(IF("Página Web"='03.Muestra'!$D$8:$D$42,ROW('03.Muestra'!$F$8:$F$42)-MIN(ROW('03.Muestra'!$D$8:$D$42))+1,""),ROW()-1044)),"")</f>
        <v>https://www.comunidad.madrid/pjus_sede/search/node/sugerencias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t="str" cm="1">
        <f t="array" ref="A1051">IFERROR(INDEX('03.Muestra'!$B$8:$B$42,SMALL(IF("Página Web"='03.Muestra'!$D$8:$D$42,ROW('03.Muestra'!$B$8:$B$42)-MIN(ROW('03.Muestra'!$D$8:$D$42))+1,""),ROW()-1044)),"")</f>
        <v/>
      </c>
      <c r="B1051" s="85" t="str" cm="1">
        <f t="array" ref="B1051">IFERROR(INDEX('03.Muestra'!$C$8:$C$42,SMALL(IF("Página Web"='03.Muestra'!$D$8:$D$42,ROW('03.Muestra'!$C$8:$C$42)-MIN(ROW('03.Muestra'!$D$8:$D$42))+1,""),ROW()-1044)),"")</f>
        <v/>
      </c>
      <c r="C1051" s="85" t="str" cm="1">
        <f t="array" ref="C1051">IFERROR(INDEX('03.Muestra'!$F$8:$F$42,SMALL(IF("Página Web"='03.Muestra'!$D$8:$D$42,ROW('03.Muestra'!$F$8:$F$42)-MIN(ROW('03.Muestra'!$D$8:$D$42))+1,""),ROW()-1044)),"")</f>
        <v/>
      </c>
      <c r="D1051" s="99" t="str">
        <f t="shared" ref="D1051:D1079" si="55">IF(AND(B1051&lt;&gt;"",C1051&lt;&gt;""),"N/T","")</f>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t="str" cm="1">
        <f t="array" ref="A1052">IFERROR(INDEX('03.Muestra'!$B$8:$B$42,SMALL(IF("Página Web"='03.Muestra'!$D$8:$D$42,ROW('03.Muestra'!$B$8:$B$42)-MIN(ROW('03.Muestra'!$D$8:$D$42))+1,""),ROW()-1044)),"")</f>
        <v/>
      </c>
      <c r="B1052" s="85" t="str" cm="1">
        <f t="array" ref="B1052">IFERROR(INDEX('03.Muestra'!$C$8:$C$42,SMALL(IF("Página Web"='03.Muestra'!$D$8:$D$42,ROW('03.Muestra'!$C$8:$C$42)-MIN(ROW('03.Muestra'!$D$8:$D$42))+1,""),ROW()-1044)),"")</f>
        <v/>
      </c>
      <c r="C1052" s="85" t="str" cm="1">
        <f t="array" ref="C1052">IFERROR(INDEX('03.Muestra'!$F$8:$F$42,SMALL(IF("Página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101</v>
      </c>
      <c r="B1082" s="23" t="s">
        <v>93</v>
      </c>
      <c r="C1082" s="24" t="s">
        <v>172</v>
      </c>
      <c r="D1082" s="25" t="s">
        <v>103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https://www.comunidad.madrid/pjus_sede/</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Accesibilidad</v>
      </c>
      <c r="C1084" s="85" t="str" cm="1">
        <f t="array" ref="C1084">IFERROR(INDEX('03.Muestra'!$F$8:$F$42,SMALL(IF("Página Web"='03.Muestra'!$D$8:$D$42,ROW('03.Muestra'!$F$8:$F$42)-MIN(ROW('03.Muestra'!$D$8:$D$42))+1,""),ROW()-1082)),"")</f>
        <v>https://www.comunidad.madrid/pjus_sede/node/35</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6</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Conozca la sede</v>
      </c>
      <c r="C1085" s="85" t="str" cm="1">
        <f t="array" ref="C1085">IFERROR(INDEX('03.Muestra'!$F$8:$F$42,SMALL(IF("Página Web"='03.Muestra'!$D$8:$D$42,ROW('03.Muestra'!$F$8:$F$42)-MIN(ROW('03.Muestra'!$D$8:$D$42))+1,""),ROW()-1082)),"")</f>
        <v>https://www.comunidad.madrid/pjus_sede/conozcalasede</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Tramites y servicios</v>
      </c>
      <c r="C1086" s="85" t="str" cm="1">
        <f t="array" ref="C1086">IFERROR(INDEX('03.Muestra'!$F$8:$F$42,SMALL(IF("Página Web"='03.Muestra'!$D$8:$D$42,ROW('03.Muestra'!$F$8:$F$42)-MIN(ROW('03.Muestra'!$D$8:$D$42))+1,""),ROW()-1082)),"")</f>
        <v>https://www.comunidad.madrid/pjus_sede/tramitesyservicios</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Ayuda</v>
      </c>
      <c r="C1087" s="85" t="str" cm="1">
        <f t="array" ref="C1087">IFERROR(INDEX('03.Muestra'!$F$8:$F$42,SMALL(IF("Página Web"='03.Muestra'!$D$8:$D$42,ROW('03.Muestra'!$F$8:$F$42)-MIN(ROW('03.Muestra'!$D$8:$D$42))+1,""),ROW()-1082)),"")</f>
        <v>https://www.comunidad.madrid/pjus_sede/ayuda</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Resultados de búsqueda</v>
      </c>
      <c r="C1088" s="85" t="str" cm="1">
        <f t="array" ref="C1088">IFERROR(INDEX('03.Muestra'!$F$8:$F$42,SMALL(IF("Página Web"='03.Muestra'!$D$8:$D$42,ROW('03.Muestra'!$F$8:$F$42)-MIN(ROW('03.Muestra'!$D$8:$D$42))+1,""),ROW()-1082)),"")</f>
        <v>https://www.comunidad.madrid/pjus_sede/search/node/sugerencias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t="str" cm="1">
        <f t="array" ref="A1089">IFERROR(INDEX('03.Muestra'!$B$8:$B$42,SMALL(IF("Página Web"='03.Muestra'!$D$8:$D$42,ROW('03.Muestra'!$B$8:$B$42)-MIN(ROW('03.Muestra'!$D$8:$D$42))+1,""),ROW()-1082)),"")</f>
        <v/>
      </c>
      <c r="B1089" s="85" t="str" cm="1">
        <f t="array" ref="B1089">IFERROR(INDEX('03.Muestra'!$C$8:$C$42,SMALL(IF("Página Web"='03.Muestra'!$D$8:$D$42,ROW('03.Muestra'!$C$8:$C$42)-MIN(ROW('03.Muestra'!$D$8:$D$42))+1,""),ROW()-1082)),"")</f>
        <v/>
      </c>
      <c r="C1089" s="85" t="str" cm="1">
        <f t="array" ref="C1089">IFERROR(INDEX('03.Muestra'!$F$8:$F$42,SMALL(IF("Página Web"='03.Muestra'!$D$8:$D$42,ROW('03.Muestra'!$F$8:$F$42)-MIN(ROW('03.Muestra'!$D$8:$D$42))+1,""),ROW()-1082)),"")</f>
        <v/>
      </c>
      <c r="D1089" s="99" t="str">
        <f t="shared" ref="D1089:D1117" si="57">IF(AND(B1089&lt;&gt;"",C1089&lt;&gt;""),"N/T","")</f>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t="str" cm="1">
        <f t="array" ref="A1090">IFERROR(INDEX('03.Muestra'!$B$8:$B$42,SMALL(IF("Página Web"='03.Muestra'!$D$8:$D$42,ROW('03.Muestra'!$B$8:$B$42)-MIN(ROW('03.Muestra'!$D$8:$D$42))+1,""),ROW()-1082)),"")</f>
        <v/>
      </c>
      <c r="B1090" s="85" t="str" cm="1">
        <f t="array" ref="B1090">IFERROR(INDEX('03.Muestra'!$C$8:$C$42,SMALL(IF("Página Web"='03.Muestra'!$D$8:$D$42,ROW('03.Muestra'!$C$8:$C$42)-MIN(ROW('03.Muestra'!$D$8:$D$42))+1,""),ROW()-1082)),"")</f>
        <v/>
      </c>
      <c r="C1090" s="85" t="str" cm="1">
        <f t="array" ref="C1090">IFERROR(INDEX('03.Muestra'!$F$8:$F$42,SMALL(IF("Página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101</v>
      </c>
      <c r="B1120" s="23" t="s">
        <v>93</v>
      </c>
      <c r="C1120" s="24" t="s">
        <v>173</v>
      </c>
      <c r="D1120" s="25" t="s">
        <v>103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https://www.comunidad.madrid/pjus_sede/</v>
      </c>
      <c r="D1121" s="99" t="s">
        <v>94</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Accesibilidad</v>
      </c>
      <c r="C1122" s="85" t="str" cm="1">
        <f t="array" ref="C1122">IFERROR(INDEX('03.Muestra'!$F$8:$F$42,SMALL(IF("Página Web"='03.Muestra'!$D$8:$D$42,ROW('03.Muestra'!$F$8:$F$42)-MIN(ROW('03.Muestra'!$D$8:$D$42))+1,""),ROW()-1120)),"")</f>
        <v>https://www.comunidad.madrid/pjus_sede/node/35</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6</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Conozca la sede</v>
      </c>
      <c r="C1123" s="85" t="str" cm="1">
        <f t="array" ref="C1123">IFERROR(INDEX('03.Muestra'!$F$8:$F$42,SMALL(IF("Página Web"='03.Muestra'!$D$8:$D$42,ROW('03.Muestra'!$F$8:$F$42)-MIN(ROW('03.Muestra'!$D$8:$D$42))+1,""),ROW()-1120)),"")</f>
        <v>https://www.comunidad.madrid/pjus_sede/conozcalasede</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Tramites y servicios</v>
      </c>
      <c r="C1124" s="85" t="str" cm="1">
        <f t="array" ref="C1124">IFERROR(INDEX('03.Muestra'!$F$8:$F$42,SMALL(IF("Página Web"='03.Muestra'!$D$8:$D$42,ROW('03.Muestra'!$F$8:$F$42)-MIN(ROW('03.Muestra'!$D$8:$D$42))+1,""),ROW()-1120)),"")</f>
        <v>https://www.comunidad.madrid/pjus_sede/tramitesyservicios</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Ayuda</v>
      </c>
      <c r="C1125" s="85" t="str" cm="1">
        <f t="array" ref="C1125">IFERROR(INDEX('03.Muestra'!$F$8:$F$42,SMALL(IF("Página Web"='03.Muestra'!$D$8:$D$42,ROW('03.Muestra'!$F$8:$F$42)-MIN(ROW('03.Muestra'!$D$8:$D$42))+1,""),ROW()-1120)),"")</f>
        <v>https://www.comunidad.madrid/pjus_sede/ayuda</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Resultados de búsqueda</v>
      </c>
      <c r="C1126" s="85" t="str" cm="1">
        <f t="array" ref="C1126">IFERROR(INDEX('03.Muestra'!$F$8:$F$42,SMALL(IF("Página Web"='03.Muestra'!$D$8:$D$42,ROW('03.Muestra'!$F$8:$F$42)-MIN(ROW('03.Muestra'!$D$8:$D$42))+1,""),ROW()-1120)),"")</f>
        <v>https://www.comunidad.madrid/pjus_sede/search/node/sugerencias</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t="str" cm="1">
        <f t="array" ref="A1127">IFERROR(INDEX('03.Muestra'!$B$8:$B$42,SMALL(IF("Página Web"='03.Muestra'!$D$8:$D$42,ROW('03.Muestra'!$B$8:$B$42)-MIN(ROW('03.Muestra'!$D$8:$D$42))+1,""),ROW()-1120)),"")</f>
        <v/>
      </c>
      <c r="B1127" s="85" t="str" cm="1">
        <f t="array" ref="B1127">IFERROR(INDEX('03.Muestra'!$C$8:$C$42,SMALL(IF("Página Web"='03.Muestra'!$D$8:$D$42,ROW('03.Muestra'!$C$8:$C$42)-MIN(ROW('03.Muestra'!$D$8:$D$42))+1,""),ROW()-1120)),"")</f>
        <v/>
      </c>
      <c r="C1127" s="85" t="str" cm="1">
        <f t="array" ref="C1127">IFERROR(INDEX('03.Muestra'!$F$8:$F$42,SMALL(IF("Página Web"='03.Muestra'!$D$8:$D$42,ROW('03.Muestra'!$F$8:$F$42)-MIN(ROW('03.Muestra'!$D$8:$D$42))+1,""),ROW()-1120)),"")</f>
        <v/>
      </c>
      <c r="D1127" s="99" t="str">
        <f t="shared" ref="D1127:D1155" si="59">IF(AND(B1127&lt;&gt;"",C1127&lt;&gt;""),"N/T","")</f>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t="str" cm="1">
        <f t="array" ref="A1128">IFERROR(INDEX('03.Muestra'!$B$8:$B$42,SMALL(IF("Página Web"='03.Muestra'!$D$8:$D$42,ROW('03.Muestra'!$B$8:$B$42)-MIN(ROW('03.Muestra'!$D$8:$D$42))+1,""),ROW()-1120)),"")</f>
        <v/>
      </c>
      <c r="B1128" s="85" t="str" cm="1">
        <f t="array" ref="B1128">IFERROR(INDEX('03.Muestra'!$C$8:$C$42,SMALL(IF("Página Web"='03.Muestra'!$D$8:$D$42,ROW('03.Muestra'!$C$8:$C$42)-MIN(ROW('03.Muestra'!$D$8:$D$42))+1,""),ROW()-1120)),"")</f>
        <v/>
      </c>
      <c r="C1128" s="85" t="str" cm="1">
        <f t="array" ref="C1128">IFERROR(INDEX('03.Muestra'!$F$8:$F$42,SMALL(IF("Página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101</v>
      </c>
      <c r="B1158" s="23" t="s">
        <v>93</v>
      </c>
      <c r="C1158" s="24" t="s">
        <v>174</v>
      </c>
      <c r="D1158" s="25" t="s">
        <v>103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https://www.comunidad.madrid/pjus_sede/</v>
      </c>
      <c r="D1159" s="99" t="s">
        <v>94</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Accesibilidad</v>
      </c>
      <c r="C1160" s="85" t="str" cm="1">
        <f t="array" ref="C1160">IFERROR(INDEX('03.Muestra'!$F$8:$F$42,SMALL(IF("Página Web"='03.Muestra'!$D$8:$D$42,ROW('03.Muestra'!$F$8:$F$42)-MIN(ROW('03.Muestra'!$D$8:$D$42))+1,""),ROW()-1158)),"")</f>
        <v>https://www.comunidad.madrid/pjus_sede/node/35</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6</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Conozca la sede</v>
      </c>
      <c r="C1161" s="85" t="str" cm="1">
        <f t="array" ref="C1161">IFERROR(INDEX('03.Muestra'!$F$8:$F$42,SMALL(IF("Página Web"='03.Muestra'!$D$8:$D$42,ROW('03.Muestra'!$F$8:$F$42)-MIN(ROW('03.Muestra'!$D$8:$D$42))+1,""),ROW()-1158)),"")</f>
        <v>https://www.comunidad.madrid/pjus_sede/conozcalasede</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Tramites y servicios</v>
      </c>
      <c r="C1162" s="85" t="str" cm="1">
        <f t="array" ref="C1162">IFERROR(INDEX('03.Muestra'!$F$8:$F$42,SMALL(IF("Página Web"='03.Muestra'!$D$8:$D$42,ROW('03.Muestra'!$F$8:$F$42)-MIN(ROW('03.Muestra'!$D$8:$D$42))+1,""),ROW()-1158)),"")</f>
        <v>https://www.comunidad.madrid/pjus_sede/tramitesyservicios</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Ayuda</v>
      </c>
      <c r="C1163" s="85" t="str" cm="1">
        <f t="array" ref="C1163">IFERROR(INDEX('03.Muestra'!$F$8:$F$42,SMALL(IF("Página Web"='03.Muestra'!$D$8:$D$42,ROW('03.Muestra'!$F$8:$F$42)-MIN(ROW('03.Muestra'!$D$8:$D$42))+1,""),ROW()-1158)),"")</f>
        <v>https://www.comunidad.madrid/pjus_sede/ayuda</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Resultados de búsqueda</v>
      </c>
      <c r="C1164" s="85" t="str" cm="1">
        <f t="array" ref="C1164">IFERROR(INDEX('03.Muestra'!$F$8:$F$42,SMALL(IF("Página Web"='03.Muestra'!$D$8:$D$42,ROW('03.Muestra'!$F$8:$F$42)-MIN(ROW('03.Muestra'!$D$8:$D$42))+1,""),ROW()-1158)),"")</f>
        <v>https://www.comunidad.madrid/pjus_sede/search/node/sugerencias</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t="str" cm="1">
        <f t="array" ref="A1165">IFERROR(INDEX('03.Muestra'!$B$8:$B$42,SMALL(IF("Página Web"='03.Muestra'!$D$8:$D$42,ROW('03.Muestra'!$B$8:$B$42)-MIN(ROW('03.Muestra'!$D$8:$D$42))+1,""),ROW()-1158)),"")</f>
        <v/>
      </c>
      <c r="B1165" s="85" t="str" cm="1">
        <f t="array" ref="B1165">IFERROR(INDEX('03.Muestra'!$C$8:$C$42,SMALL(IF("Página Web"='03.Muestra'!$D$8:$D$42,ROW('03.Muestra'!$C$8:$C$42)-MIN(ROW('03.Muestra'!$D$8:$D$42))+1,""),ROW()-1158)),"")</f>
        <v/>
      </c>
      <c r="C1165" s="85" t="str" cm="1">
        <f t="array" ref="C1165">IFERROR(INDEX('03.Muestra'!$F$8:$F$42,SMALL(IF("Página Web"='03.Muestra'!$D$8:$D$42,ROW('03.Muestra'!$F$8:$F$42)-MIN(ROW('03.Muestra'!$D$8:$D$42))+1,""),ROW()-1158)),"")</f>
        <v/>
      </c>
      <c r="D1165" s="99" t="str">
        <f t="shared" ref="D1165:D1193" si="61">IF(AND(B1165&lt;&gt;"",C1165&lt;&gt;""),"N/T","")</f>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t="str" cm="1">
        <f t="array" ref="A1166">IFERROR(INDEX('03.Muestra'!$B$8:$B$42,SMALL(IF("Página Web"='03.Muestra'!$D$8:$D$42,ROW('03.Muestra'!$B$8:$B$42)-MIN(ROW('03.Muestra'!$D$8:$D$42))+1,""),ROW()-1158)),"")</f>
        <v/>
      </c>
      <c r="B1166" s="85" t="str" cm="1">
        <f t="array" ref="B1166">IFERROR(INDEX('03.Muestra'!$C$8:$C$42,SMALL(IF("Página Web"='03.Muestra'!$D$8:$D$42,ROW('03.Muestra'!$C$8:$C$42)-MIN(ROW('03.Muestra'!$D$8:$D$42))+1,""),ROW()-1158)),"")</f>
        <v/>
      </c>
      <c r="C1166" s="85" t="str" cm="1">
        <f t="array" ref="C1166">IFERROR(INDEX('03.Muestra'!$F$8:$F$42,SMALL(IF("Página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101</v>
      </c>
      <c r="B1196" s="23" t="s">
        <v>93</v>
      </c>
      <c r="C1196" s="24" t="s">
        <v>175</v>
      </c>
      <c r="D1196" s="25" t="s">
        <v>103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https://www.comunidad.madrid/pjus_sede/</v>
      </c>
      <c r="D1197" s="99" t="s">
        <v>96</v>
      </c>
      <c r="E1197" s="79" t="str">
        <f t="shared" ref="E1197:E1231" si="62">IF(D1197&lt;&gt;"",IF(AND(B1197&lt;&gt;"",C1197&lt;&gt;""),"","ERR"),"")</f>
        <v/>
      </c>
      <c r="F1197" s="86" t="s">
        <v>104</v>
      </c>
      <c r="G1197" s="87" t="s">
        <v>105</v>
      </c>
      <c r="H1197" s="88" t="s">
        <v>106</v>
      </c>
      <c r="I1197" s="89" t="s">
        <v>96</v>
      </c>
      <c r="J1197" s="90" t="s">
        <v>94</v>
      </c>
      <c r="K1197" s="179" t="s">
        <v>100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Accesibilidad</v>
      </c>
      <c r="C1198" s="85" t="str" cm="1">
        <f t="array" ref="C1198">IFERROR(INDEX('03.Muestra'!$F$8:$F$42,SMALL(IF("Página Web"='03.Muestra'!$D$8:$D$42,ROW('03.Muestra'!$F$8:$F$42)-MIN(ROW('03.Muestra'!$D$8:$D$42))+1,""),ROW()-1196)),"")</f>
        <v>https://www.comunidad.madrid/pjus_sede/node/35</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v>
      </c>
      <c r="J1198" s="91">
        <f ca="1">COUNTIF($D1197:INDIRECT("$D" &amp;  SUM(ROW()-1,'03.Muestra'!$D$45)-1),J1197)</f>
        <v>4</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Conozca la sede</v>
      </c>
      <c r="C1199" s="85" t="str" cm="1">
        <f t="array" ref="C1199">IFERROR(INDEX('03.Muestra'!$F$8:$F$42,SMALL(IF("Página Web"='03.Muestra'!$D$8:$D$42,ROW('03.Muestra'!$F$8:$F$42)-MIN(ROW('03.Muestra'!$D$8:$D$42))+1,""),ROW()-1196)),"")</f>
        <v>https://www.comunidad.madrid/pjus_sede/conozcalasede</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Tramites y servicios</v>
      </c>
      <c r="C1200" s="85" t="str" cm="1">
        <f t="array" ref="C1200">IFERROR(INDEX('03.Muestra'!$F$8:$F$42,SMALL(IF("Página Web"='03.Muestra'!$D$8:$D$42,ROW('03.Muestra'!$F$8:$F$42)-MIN(ROW('03.Muestra'!$D$8:$D$42))+1,""),ROW()-1196)),"")</f>
        <v>https://www.comunidad.madrid/pjus_sede/tramitesyservicios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Ayuda</v>
      </c>
      <c r="C1201" s="85" t="str" cm="1">
        <f t="array" ref="C1201">IFERROR(INDEX('03.Muestra'!$F$8:$F$42,SMALL(IF("Página Web"='03.Muestra'!$D$8:$D$42,ROW('03.Muestra'!$F$8:$F$42)-MIN(ROW('03.Muestra'!$D$8:$D$42))+1,""),ROW()-1196)),"")</f>
        <v>https://www.comunidad.madrid/pjus_sede/ayuda</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Resultados de búsqueda</v>
      </c>
      <c r="C1202" s="85" t="str" cm="1">
        <f t="array" ref="C1202">IFERROR(INDEX('03.Muestra'!$F$8:$F$42,SMALL(IF("Página Web"='03.Muestra'!$D$8:$D$42,ROW('03.Muestra'!$F$8:$F$42)-MIN(ROW('03.Muestra'!$D$8:$D$42))+1,""),ROW()-1196)),"")</f>
        <v>https://www.comunidad.madrid/pjus_sede/search/node/sugerencias</v>
      </c>
      <c r="D1202" s="99" t="s">
        <v>96</v>
      </c>
      <c r="E1202" s="79" t="str">
        <f t="shared" si="62"/>
        <v/>
      </c>
      <c r="G1202" s="18"/>
      <c r="H1202" s="18"/>
      <c r="I1202" s="18"/>
      <c r="J1202" s="18"/>
      <c r="K1202" s="184"/>
      <c r="L1202" s="18"/>
    </row>
    <row r="1203" spans="1:12" ht="12" customHeight="1">
      <c r="A1203" s="39" t="str" cm="1">
        <f t="array" ref="A1203">IFERROR(INDEX('03.Muestra'!$B$8:$B$42,SMALL(IF("Página Web"='03.Muestra'!$D$8:$D$42,ROW('03.Muestra'!$B$8:$B$42)-MIN(ROW('03.Muestra'!$D$8:$D$42))+1,""),ROW()-1196)),"")</f>
        <v/>
      </c>
      <c r="B1203" s="85" t="str" cm="1">
        <f t="array" ref="B1203">IFERROR(INDEX('03.Muestra'!$C$8:$C$42,SMALL(IF("Página Web"='03.Muestra'!$D$8:$D$42,ROW('03.Muestra'!$C$8:$C$42)-MIN(ROW('03.Muestra'!$D$8:$D$42))+1,""),ROW()-1196)),"")</f>
        <v/>
      </c>
      <c r="C1203" s="85" t="str" cm="1">
        <f t="array" ref="C1203">IFERROR(INDEX('03.Muestra'!$F$8:$F$42,SMALL(IF("Página Web"='03.Muestra'!$D$8:$D$42,ROW('03.Muestra'!$F$8:$F$42)-MIN(ROW('03.Muestra'!$D$8:$D$42))+1,""),ROW()-1196)),"")</f>
        <v/>
      </c>
      <c r="D1203" s="99" t="str">
        <f t="shared" ref="D1203:D1231" si="63">IF(AND(B1203&lt;&gt;"",C1203&lt;&gt;""),"N/T","")</f>
        <v/>
      </c>
      <c r="E1203" s="79" t="str">
        <f t="shared" si="62"/>
        <v/>
      </c>
      <c r="F1203" s="18"/>
      <c r="G1203" s="18"/>
      <c r="H1203" s="18"/>
      <c r="I1203" s="18"/>
      <c r="J1203" s="18"/>
      <c r="K1203" s="184"/>
      <c r="L1203" s="18"/>
    </row>
    <row r="1204" spans="1:12" ht="12" customHeight="1">
      <c r="A1204" s="39" t="str" cm="1">
        <f t="array" ref="A1204">IFERROR(INDEX('03.Muestra'!$B$8:$B$42,SMALL(IF("Página Web"='03.Muestra'!$D$8:$D$42,ROW('03.Muestra'!$B$8:$B$42)-MIN(ROW('03.Muestra'!$D$8:$D$42))+1,""),ROW()-1196)),"")</f>
        <v/>
      </c>
      <c r="B1204" s="85" t="str" cm="1">
        <f t="array" ref="B1204">IFERROR(INDEX('03.Muestra'!$C$8:$C$42,SMALL(IF("Página Web"='03.Muestra'!$D$8:$D$42,ROW('03.Muestra'!$C$8:$C$42)-MIN(ROW('03.Muestra'!$D$8:$D$42))+1,""),ROW()-1196)),"")</f>
        <v/>
      </c>
      <c r="C1204" s="85" t="str" cm="1">
        <f t="array" ref="C1204">IFERROR(INDEX('03.Muestra'!$F$8:$F$42,SMALL(IF("Página Web"='03.Muestra'!$D$8:$D$42,ROW('03.Muestra'!$F$8:$F$42)-MIN(ROW('03.Muestra'!$D$8:$D$42))+1,""),ROW()-1196)),"")</f>
        <v/>
      </c>
      <c r="D1204" s="99" t="str">
        <f t="shared" si="63"/>
        <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si="63"/>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101</v>
      </c>
      <c r="B1234" s="23" t="s">
        <v>93</v>
      </c>
      <c r="C1234" s="24" t="s">
        <v>176</v>
      </c>
      <c r="D1234" s="25" t="s">
        <v>103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https://www.comunidad.madrid/pjus_sede/</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Accesibilidad</v>
      </c>
      <c r="C1236" s="85" t="str" cm="1">
        <f t="array" ref="C1236">IFERROR(INDEX('03.Muestra'!$F$8:$F$42,SMALL(IF("Página Web"='03.Muestra'!$D$8:$D$42,ROW('03.Muestra'!$F$8:$F$42)-MIN(ROW('03.Muestra'!$D$8:$D$42))+1,""),ROW()-1234)),"")</f>
        <v>https://www.comunidad.madrid/pjus_sede/node/35</v>
      </c>
      <c r="D1236" s="99" t="s">
        <v>106</v>
      </c>
      <c r="E1236" s="79" t="str">
        <f t="shared" si="64"/>
        <v/>
      </c>
      <c r="F1236" s="91">
        <f ca="1">COUNTIF($D1235:INDIRECT("$D" &amp;  SUM(ROW()-1,'03.Muestra'!$D$45)-1),F1235)</f>
        <v>0</v>
      </c>
      <c r="G1236" s="91">
        <f ca="1">COUNTIF($D1235:INDIRECT("$D" &amp;  SUM(ROW()-1,'03.Muestra'!$D$45)-1),G1235)</f>
        <v>0</v>
      </c>
      <c r="H1236" s="91">
        <f ca="1">COUNTIF($D1235:INDIRECT("$D" &amp;  SUM(ROW()-1,'03.Muestra'!$D$45)-1),H1235)</f>
        <v>6</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Conozca la sede</v>
      </c>
      <c r="C1237" s="85" t="str" cm="1">
        <f t="array" ref="C1237">IFERROR(INDEX('03.Muestra'!$F$8:$F$42,SMALL(IF("Página Web"='03.Muestra'!$D$8:$D$42,ROW('03.Muestra'!$F$8:$F$42)-MIN(ROW('03.Muestra'!$D$8:$D$42))+1,""),ROW()-1234)),"")</f>
        <v>https://www.comunidad.madrid/pjus_sede/conozcalasede</v>
      </c>
      <c r="D1237" s="99" t="s">
        <v>106</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Tramites y servicios</v>
      </c>
      <c r="C1238" s="85" t="str" cm="1">
        <f t="array" ref="C1238">IFERROR(INDEX('03.Muestra'!$F$8:$F$42,SMALL(IF("Página Web"='03.Muestra'!$D$8:$D$42,ROW('03.Muestra'!$F$8:$F$42)-MIN(ROW('03.Muestra'!$D$8:$D$42))+1,""),ROW()-1234)),"")</f>
        <v>https://www.comunidad.madrid/pjus_sede/tramitesyservicios</v>
      </c>
      <c r="D1238" s="99" t="s">
        <v>106</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Ayuda</v>
      </c>
      <c r="C1239" s="85" t="str" cm="1">
        <f t="array" ref="C1239">IFERROR(INDEX('03.Muestra'!$F$8:$F$42,SMALL(IF("Página Web"='03.Muestra'!$D$8:$D$42,ROW('03.Muestra'!$F$8:$F$42)-MIN(ROW('03.Muestra'!$D$8:$D$42))+1,""),ROW()-1234)),"")</f>
        <v>https://www.comunidad.madrid/pjus_sede/ayuda</v>
      </c>
      <c r="D1239" s="99" t="s">
        <v>106</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Resultados de búsqueda</v>
      </c>
      <c r="C1240" s="85" t="str" cm="1">
        <f t="array" ref="C1240">IFERROR(INDEX('03.Muestra'!$F$8:$F$42,SMALL(IF("Página Web"='03.Muestra'!$D$8:$D$42,ROW('03.Muestra'!$F$8:$F$42)-MIN(ROW('03.Muestra'!$D$8:$D$42))+1,""),ROW()-1234)),"")</f>
        <v>https://www.comunidad.madrid/pjus_sede/search/node/sugerencias</v>
      </c>
      <c r="D1240" s="99" t="s">
        <v>106</v>
      </c>
      <c r="E1240" s="79" t="str">
        <f t="shared" si="64"/>
        <v/>
      </c>
      <c r="G1240" s="18"/>
      <c r="H1240" s="18"/>
      <c r="I1240" s="18"/>
      <c r="J1240" s="18"/>
      <c r="K1240" s="184"/>
      <c r="L1240" s="18"/>
    </row>
    <row r="1241" spans="1:12" ht="12" customHeight="1">
      <c r="A1241" s="39" t="str" cm="1">
        <f t="array" ref="A1241">IFERROR(INDEX('03.Muestra'!$B$8:$B$42,SMALL(IF("Página Web"='03.Muestra'!$D$8:$D$42,ROW('03.Muestra'!$B$8:$B$42)-MIN(ROW('03.Muestra'!$D$8:$D$42))+1,""),ROW()-1234)),"")</f>
        <v/>
      </c>
      <c r="B1241" s="85" t="str" cm="1">
        <f t="array" ref="B1241">IFERROR(INDEX('03.Muestra'!$C$8:$C$42,SMALL(IF("Página Web"='03.Muestra'!$D$8:$D$42,ROW('03.Muestra'!$C$8:$C$42)-MIN(ROW('03.Muestra'!$D$8:$D$42))+1,""),ROW()-1234)),"")</f>
        <v/>
      </c>
      <c r="C1241" s="85" t="str" cm="1">
        <f t="array" ref="C1241">IFERROR(INDEX('03.Muestra'!$F$8:$F$42,SMALL(IF("Página Web"='03.Muestra'!$D$8:$D$42,ROW('03.Muestra'!$F$8:$F$42)-MIN(ROW('03.Muestra'!$D$8:$D$42))+1,""),ROW()-1234)),"")</f>
        <v/>
      </c>
      <c r="D1241" s="99" t="str">
        <f t="shared" ref="D1241:D1269" si="65">IF(AND(B1241&lt;&gt;"",C1241&lt;&gt;""),"N/T","")</f>
        <v/>
      </c>
      <c r="E1241" s="79" t="str">
        <f t="shared" si="64"/>
        <v/>
      </c>
      <c r="F1241" s="18"/>
      <c r="G1241" s="18"/>
      <c r="H1241" s="18"/>
      <c r="I1241" s="18"/>
      <c r="J1241" s="18"/>
      <c r="K1241" s="184"/>
      <c r="L1241" s="18"/>
    </row>
    <row r="1242" spans="1:12" ht="12" customHeight="1">
      <c r="A1242" s="39" t="str" cm="1">
        <f t="array" ref="A1242">IFERROR(INDEX('03.Muestra'!$B$8:$B$42,SMALL(IF("Página Web"='03.Muestra'!$D$8:$D$42,ROW('03.Muestra'!$B$8:$B$42)-MIN(ROW('03.Muestra'!$D$8:$D$42))+1,""),ROW()-1234)),"")</f>
        <v/>
      </c>
      <c r="B1242" s="85" t="str" cm="1">
        <f t="array" ref="B1242">IFERROR(INDEX('03.Muestra'!$C$8:$C$42,SMALL(IF("Página Web"='03.Muestra'!$D$8:$D$42,ROW('03.Muestra'!$C$8:$C$42)-MIN(ROW('03.Muestra'!$D$8:$D$42))+1,""),ROW()-1234)),"")</f>
        <v/>
      </c>
      <c r="C1242" s="85" t="str" cm="1">
        <f t="array" ref="C1242">IFERROR(INDEX('03.Muestra'!$F$8:$F$42,SMALL(IF("Página Web"='03.Muestra'!$D$8:$D$42,ROW('03.Muestra'!$F$8:$F$42)-MIN(ROW('03.Muestra'!$D$8:$D$42))+1,""),ROW()-1234)),"")</f>
        <v/>
      </c>
      <c r="D1242" s="99" t="str">
        <f t="shared" si="65"/>
        <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si="65"/>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101</v>
      </c>
      <c r="B1272" s="23" t="s">
        <v>93</v>
      </c>
      <c r="C1272" s="24" t="s">
        <v>177</v>
      </c>
      <c r="D1272" s="25" t="s">
        <v>103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https://www.comunidad.madrid/pjus_sede/</v>
      </c>
      <c r="D1273" s="99" t="s">
        <v>106</v>
      </c>
      <c r="E1273" s="79" t="str">
        <f t="shared" ref="E1273:E1307" si="66">IF(D1273&lt;&gt;"",IF(AND(B1273&lt;&gt;"",C1273&lt;&gt;""),"","ERR"),"")</f>
        <v/>
      </c>
      <c r="F1273" s="86" t="s">
        <v>104</v>
      </c>
      <c r="G1273" s="87" t="s">
        <v>105</v>
      </c>
      <c r="H1273" s="88" t="s">
        <v>106</v>
      </c>
      <c r="I1273" s="89" t="s">
        <v>96</v>
      </c>
      <c r="J1273" s="90" t="s">
        <v>94</v>
      </c>
      <c r="K1273" s="179" t="s">
        <v>100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Accesibilidad</v>
      </c>
      <c r="C1274" s="85" t="str" cm="1">
        <f t="array" ref="C1274">IFERROR(INDEX('03.Muestra'!$F$8:$F$42,SMALL(IF("Página Web"='03.Muestra'!$D$8:$D$42,ROW('03.Muestra'!$F$8:$F$42)-MIN(ROW('03.Muestra'!$D$8:$D$42))+1,""),ROW()-1272)),"")</f>
        <v>https://www.comunidad.madrid/pjus_sede/node/35</v>
      </c>
      <c r="D1274" s="99" t="s">
        <v>106</v>
      </c>
      <c r="E1274" s="79" t="str">
        <f t="shared" si="66"/>
        <v/>
      </c>
      <c r="F1274" s="91">
        <f ca="1">COUNTIF($D1273:INDIRECT("$D" &amp;  SUM(ROW()-1,'03.Muestra'!$D$45)-1),F1273)</f>
        <v>0</v>
      </c>
      <c r="G1274" s="91">
        <f ca="1">COUNTIF($D1273:INDIRECT("$D" &amp;  SUM(ROW()-1,'03.Muestra'!$D$45)-1),G1273)</f>
        <v>0</v>
      </c>
      <c r="H1274" s="91">
        <f ca="1">COUNTIF($D1273:INDIRECT("$D" &amp;  SUM(ROW()-1,'03.Muestra'!$D$45)-1),H1273)</f>
        <v>6</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Conozca la sede</v>
      </c>
      <c r="C1275" s="85" t="str" cm="1">
        <f t="array" ref="C1275">IFERROR(INDEX('03.Muestra'!$F$8:$F$42,SMALL(IF("Página Web"='03.Muestra'!$D$8:$D$42,ROW('03.Muestra'!$F$8:$F$42)-MIN(ROW('03.Muestra'!$D$8:$D$42))+1,""),ROW()-1272)),"")</f>
        <v>https://www.comunidad.madrid/pjus_sede/conozcalasede</v>
      </c>
      <c r="D1275" s="99" t="s">
        <v>106</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Tramites y servicios</v>
      </c>
      <c r="C1276" s="85" t="str" cm="1">
        <f t="array" ref="C1276">IFERROR(INDEX('03.Muestra'!$F$8:$F$42,SMALL(IF("Página Web"='03.Muestra'!$D$8:$D$42,ROW('03.Muestra'!$F$8:$F$42)-MIN(ROW('03.Muestra'!$D$8:$D$42))+1,""),ROW()-1272)),"")</f>
        <v>https://www.comunidad.madrid/pjus_sede/tramitesyservicios</v>
      </c>
      <c r="D1276" s="99" t="s">
        <v>106</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Ayuda</v>
      </c>
      <c r="C1277" s="85" t="str" cm="1">
        <f t="array" ref="C1277">IFERROR(INDEX('03.Muestra'!$F$8:$F$42,SMALL(IF("Página Web"='03.Muestra'!$D$8:$D$42,ROW('03.Muestra'!$F$8:$F$42)-MIN(ROW('03.Muestra'!$D$8:$D$42))+1,""),ROW()-1272)),"")</f>
        <v>https://www.comunidad.madrid/pjus_sede/ayuda</v>
      </c>
      <c r="D1277" s="99" t="s">
        <v>106</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Resultados de búsqueda</v>
      </c>
      <c r="C1278" s="85" t="str" cm="1">
        <f t="array" ref="C1278">IFERROR(INDEX('03.Muestra'!$F$8:$F$42,SMALL(IF("Página Web"='03.Muestra'!$D$8:$D$42,ROW('03.Muestra'!$F$8:$F$42)-MIN(ROW('03.Muestra'!$D$8:$D$42))+1,""),ROW()-1272)),"")</f>
        <v>https://www.comunidad.madrid/pjus_sede/search/node/sugerencias</v>
      </c>
      <c r="D1278" s="99" t="s">
        <v>106</v>
      </c>
      <c r="E1278" s="79" t="str">
        <f t="shared" si="66"/>
        <v/>
      </c>
      <c r="G1278" s="18"/>
      <c r="H1278" s="18"/>
      <c r="I1278" s="18"/>
      <c r="J1278" s="18"/>
      <c r="K1278" s="184"/>
    </row>
    <row r="1279" spans="1:12" ht="12" customHeight="1">
      <c r="A1279" s="39" t="str" cm="1">
        <f t="array" ref="A1279">IFERROR(INDEX('03.Muestra'!$B$8:$B$42,SMALL(IF("Página Web"='03.Muestra'!$D$8:$D$42,ROW('03.Muestra'!$B$8:$B$42)-MIN(ROW('03.Muestra'!$D$8:$D$42))+1,""),ROW()-1272)),"")</f>
        <v/>
      </c>
      <c r="B1279" s="85" t="str" cm="1">
        <f t="array" ref="B1279">IFERROR(INDEX('03.Muestra'!$C$8:$C$42,SMALL(IF("Página Web"='03.Muestra'!$D$8:$D$42,ROW('03.Muestra'!$C$8:$C$42)-MIN(ROW('03.Muestra'!$D$8:$D$42))+1,""),ROW()-1272)),"")</f>
        <v/>
      </c>
      <c r="C1279" s="85" t="str" cm="1">
        <f t="array" ref="C1279">IFERROR(INDEX('03.Muestra'!$F$8:$F$42,SMALL(IF("Página Web"='03.Muestra'!$D$8:$D$42,ROW('03.Muestra'!$F$8:$F$42)-MIN(ROW('03.Muestra'!$D$8:$D$42))+1,""),ROW()-1272)),"")</f>
        <v/>
      </c>
      <c r="D1279" s="99" t="str">
        <f t="shared" ref="D1279:D1307" si="67">IF(AND(B1279&lt;&gt;"",C1279&lt;&gt;""),"N/T","")</f>
        <v/>
      </c>
      <c r="E1279" s="79" t="str">
        <f t="shared" si="66"/>
        <v/>
      </c>
      <c r="F1279" s="18"/>
      <c r="G1279" s="18"/>
      <c r="H1279" s="18"/>
      <c r="I1279" s="18"/>
      <c r="J1279" s="18"/>
      <c r="K1279" s="184"/>
    </row>
    <row r="1280" spans="1:12" ht="12" customHeight="1">
      <c r="A1280" s="39" t="str" cm="1">
        <f t="array" ref="A1280">IFERROR(INDEX('03.Muestra'!$B$8:$B$42,SMALL(IF("Página Web"='03.Muestra'!$D$8:$D$42,ROW('03.Muestra'!$B$8:$B$42)-MIN(ROW('03.Muestra'!$D$8:$D$42))+1,""),ROW()-1272)),"")</f>
        <v/>
      </c>
      <c r="B1280" s="85" t="str" cm="1">
        <f t="array" ref="B1280">IFERROR(INDEX('03.Muestra'!$C$8:$C$42,SMALL(IF("Página Web"='03.Muestra'!$D$8:$D$42,ROW('03.Muestra'!$C$8:$C$42)-MIN(ROW('03.Muestra'!$D$8:$D$42))+1,""),ROW()-1272)),"")</f>
        <v/>
      </c>
      <c r="C1280" s="85" t="str" cm="1">
        <f t="array" ref="C1280">IFERROR(INDEX('03.Muestra'!$F$8:$F$42,SMALL(IF("Página Web"='03.Muestra'!$D$8:$D$42,ROW('03.Muestra'!$F$8:$F$42)-MIN(ROW('03.Muestra'!$D$8:$D$42))+1,""),ROW()-1272)),"")</f>
        <v/>
      </c>
      <c r="D1280" s="99" t="str">
        <f t="shared" si="67"/>
        <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si="67"/>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101</v>
      </c>
      <c r="B1310" s="23" t="s">
        <v>93</v>
      </c>
      <c r="C1310" s="24" t="s">
        <v>178</v>
      </c>
      <c r="D1310" s="25" t="s">
        <v>103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https://www.comunidad.madrid/pjus_sede/</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Accesibilidad</v>
      </c>
      <c r="C1312" s="85" t="str" cm="1">
        <f t="array" ref="C1312">IFERROR(INDEX('03.Muestra'!$F$8:$F$42,SMALL(IF("Página Web"='03.Muestra'!$D$8:$D$42,ROW('03.Muestra'!$F$8:$F$42)-MIN(ROW('03.Muestra'!$D$8:$D$42))+1,""),ROW()-1310)),"")</f>
        <v>https://www.comunidad.madrid/pjus_sede/node/35</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6</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Conozca la sede</v>
      </c>
      <c r="C1313" s="85" t="str" cm="1">
        <f t="array" ref="C1313">IFERROR(INDEX('03.Muestra'!$F$8:$F$42,SMALL(IF("Página Web"='03.Muestra'!$D$8:$D$42,ROW('03.Muestra'!$F$8:$F$42)-MIN(ROW('03.Muestra'!$D$8:$D$42))+1,""),ROW()-1310)),"")</f>
        <v>https://www.comunidad.madrid/pjus_sede/conozcalasede</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Tramites y servicios</v>
      </c>
      <c r="C1314" s="85" t="str" cm="1">
        <f t="array" ref="C1314">IFERROR(INDEX('03.Muestra'!$F$8:$F$42,SMALL(IF("Página Web"='03.Muestra'!$D$8:$D$42,ROW('03.Muestra'!$F$8:$F$42)-MIN(ROW('03.Muestra'!$D$8:$D$42))+1,""),ROW()-1310)),"")</f>
        <v>https://www.comunidad.madrid/pjus_sede/tramitesyservicios</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Ayuda</v>
      </c>
      <c r="C1315" s="85" t="str" cm="1">
        <f t="array" ref="C1315">IFERROR(INDEX('03.Muestra'!$F$8:$F$42,SMALL(IF("Página Web"='03.Muestra'!$D$8:$D$42,ROW('03.Muestra'!$F$8:$F$42)-MIN(ROW('03.Muestra'!$D$8:$D$42))+1,""),ROW()-1310)),"")</f>
        <v>https://www.comunidad.madrid/pjus_sede/ayuda</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Resultados de búsqueda</v>
      </c>
      <c r="C1316" s="85" t="str" cm="1">
        <f t="array" ref="C1316">IFERROR(INDEX('03.Muestra'!$F$8:$F$42,SMALL(IF("Página Web"='03.Muestra'!$D$8:$D$42,ROW('03.Muestra'!$F$8:$F$42)-MIN(ROW('03.Muestra'!$D$8:$D$42))+1,""),ROW()-1310)),"")</f>
        <v>https://www.comunidad.madrid/pjus_sede/search/node/sugerencias</v>
      </c>
      <c r="D1316" s="99" t="s">
        <v>94</v>
      </c>
      <c r="E1316" s="79" t="str">
        <f t="shared" si="68"/>
        <v/>
      </c>
      <c r="G1316" s="18"/>
      <c r="H1316" s="18"/>
      <c r="I1316" s="18"/>
      <c r="J1316" s="18"/>
      <c r="K1316" s="184"/>
      <c r="L1316" s="18"/>
    </row>
    <row r="1317" spans="1:12" ht="12" customHeight="1">
      <c r="A1317" s="39" t="str" cm="1">
        <f t="array" ref="A1317">IFERROR(INDEX('03.Muestra'!$B$8:$B$42,SMALL(IF("Página Web"='03.Muestra'!$D$8:$D$42,ROW('03.Muestra'!$B$8:$B$42)-MIN(ROW('03.Muestra'!$D$8:$D$42))+1,""),ROW()-1310)),"")</f>
        <v/>
      </c>
      <c r="B1317" s="85" t="str" cm="1">
        <f t="array" ref="B1317">IFERROR(INDEX('03.Muestra'!$C$8:$C$42,SMALL(IF("Página Web"='03.Muestra'!$D$8:$D$42,ROW('03.Muestra'!$C$8:$C$42)-MIN(ROW('03.Muestra'!$D$8:$D$42))+1,""),ROW()-1310)),"")</f>
        <v/>
      </c>
      <c r="C1317" s="85" t="str" cm="1">
        <f t="array" ref="C1317">IFERROR(INDEX('03.Muestra'!$F$8:$F$42,SMALL(IF("Página Web"='03.Muestra'!$D$8:$D$42,ROW('03.Muestra'!$F$8:$F$42)-MIN(ROW('03.Muestra'!$D$8:$D$42))+1,""),ROW()-1310)),"")</f>
        <v/>
      </c>
      <c r="D1317" s="99" t="str">
        <f t="shared" ref="D1317:D1345" si="69">IF(AND(B1317&lt;&gt;"",C1317&lt;&gt;""),"N/T","")</f>
        <v/>
      </c>
      <c r="E1317" s="79" t="str">
        <f t="shared" si="68"/>
        <v/>
      </c>
      <c r="F1317" s="18"/>
      <c r="G1317" s="18"/>
      <c r="H1317" s="18"/>
      <c r="I1317" s="18"/>
      <c r="J1317" s="18"/>
      <c r="K1317" s="184"/>
      <c r="L1317" s="18"/>
    </row>
    <row r="1318" spans="1:12" ht="12" customHeight="1">
      <c r="A1318" s="39" t="str" cm="1">
        <f t="array" ref="A1318">IFERROR(INDEX('03.Muestra'!$B$8:$B$42,SMALL(IF("Página Web"='03.Muestra'!$D$8:$D$42,ROW('03.Muestra'!$B$8:$B$42)-MIN(ROW('03.Muestra'!$D$8:$D$42))+1,""),ROW()-1310)),"")</f>
        <v/>
      </c>
      <c r="B1318" s="85" t="str" cm="1">
        <f t="array" ref="B1318">IFERROR(INDEX('03.Muestra'!$C$8:$C$42,SMALL(IF("Página Web"='03.Muestra'!$D$8:$D$42,ROW('03.Muestra'!$C$8:$C$42)-MIN(ROW('03.Muestra'!$D$8:$D$42))+1,""),ROW()-1310)),"")</f>
        <v/>
      </c>
      <c r="C1318" s="85" t="str" cm="1">
        <f t="array" ref="C1318">IFERROR(INDEX('03.Muestra'!$F$8:$F$42,SMALL(IF("Página Web"='03.Muestra'!$D$8:$D$42,ROW('03.Muestra'!$F$8:$F$42)-MIN(ROW('03.Muestra'!$D$8:$D$42))+1,""),ROW()-1310)),"")</f>
        <v/>
      </c>
      <c r="D1318" s="99" t="str">
        <f t="shared" si="69"/>
        <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si="69"/>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101</v>
      </c>
      <c r="B1348" s="23" t="s">
        <v>93</v>
      </c>
      <c r="C1348" s="24" t="s">
        <v>179</v>
      </c>
      <c r="D1348" s="25" t="s">
        <v>103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https://www.comunidad.madrid/pjus_sede/</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Accesibilidad</v>
      </c>
      <c r="C1350" s="85" t="str" cm="1">
        <f t="array" ref="C1350">IFERROR(INDEX('03.Muestra'!$F$8:$F$42,SMALL(IF("Página Web"='03.Muestra'!$D$8:$D$42,ROW('03.Muestra'!$F$8:$F$42)-MIN(ROW('03.Muestra'!$D$8:$D$42))+1,""),ROW()-1348)),"")</f>
        <v>https://www.comunidad.madrid/pjus_sede/node/35</v>
      </c>
      <c r="D1350" s="99" t="s">
        <v>106</v>
      </c>
      <c r="E1350" s="79" t="str">
        <f t="shared" si="70"/>
        <v/>
      </c>
      <c r="F1350" s="91">
        <f ca="1">COUNTIF($D1349:INDIRECT("$D" &amp;  SUM(ROW()-1,'03.Muestra'!$D$45)-1),F1349)</f>
        <v>0</v>
      </c>
      <c r="G1350" s="91">
        <f ca="1">COUNTIF($D1349:INDIRECT("$D" &amp;  SUM(ROW()-1,'03.Muestra'!$D$45)-1),G1349)</f>
        <v>0</v>
      </c>
      <c r="H1350" s="91">
        <f ca="1">COUNTIF($D1349:INDIRECT("$D" &amp;  SUM(ROW()-1,'03.Muestra'!$D$45)-1),H1349)</f>
        <v>6</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Conozca la sede</v>
      </c>
      <c r="C1351" s="85" t="str" cm="1">
        <f t="array" ref="C1351">IFERROR(INDEX('03.Muestra'!$F$8:$F$42,SMALL(IF("Página Web"='03.Muestra'!$D$8:$D$42,ROW('03.Muestra'!$F$8:$F$42)-MIN(ROW('03.Muestra'!$D$8:$D$42))+1,""),ROW()-1348)),"")</f>
        <v>https://www.comunidad.madrid/pjus_sede/conozcalasede</v>
      </c>
      <c r="D1351" s="99" t="s">
        <v>106</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Tramites y servicios</v>
      </c>
      <c r="C1352" s="85" t="str" cm="1">
        <f t="array" ref="C1352">IFERROR(INDEX('03.Muestra'!$F$8:$F$42,SMALL(IF("Página Web"='03.Muestra'!$D$8:$D$42,ROW('03.Muestra'!$F$8:$F$42)-MIN(ROW('03.Muestra'!$D$8:$D$42))+1,""),ROW()-1348)),"")</f>
        <v>https://www.comunidad.madrid/pjus_sede/tramitesyservicios</v>
      </c>
      <c r="D1352" s="99" t="s">
        <v>106</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Ayuda</v>
      </c>
      <c r="C1353" s="85" t="str" cm="1">
        <f t="array" ref="C1353">IFERROR(INDEX('03.Muestra'!$F$8:$F$42,SMALL(IF("Página Web"='03.Muestra'!$D$8:$D$42,ROW('03.Muestra'!$F$8:$F$42)-MIN(ROW('03.Muestra'!$D$8:$D$42))+1,""),ROW()-1348)),"")</f>
        <v>https://www.comunidad.madrid/pjus_sede/ayuda</v>
      </c>
      <c r="D1353" s="99" t="s">
        <v>106</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Resultados de búsqueda</v>
      </c>
      <c r="C1354" s="85" t="str" cm="1">
        <f t="array" ref="C1354">IFERROR(INDEX('03.Muestra'!$F$8:$F$42,SMALL(IF("Página Web"='03.Muestra'!$D$8:$D$42,ROW('03.Muestra'!$F$8:$F$42)-MIN(ROW('03.Muestra'!$D$8:$D$42))+1,""),ROW()-1348)),"")</f>
        <v>https://www.comunidad.madrid/pjus_sede/search/node/sugerencias</v>
      </c>
      <c r="D1354" s="99" t="s">
        <v>106</v>
      </c>
      <c r="E1354" s="79" t="str">
        <f t="shared" si="70"/>
        <v/>
      </c>
      <c r="G1354" s="18"/>
      <c r="H1354" s="18"/>
      <c r="I1354" s="18"/>
      <c r="J1354" s="18"/>
      <c r="K1354" s="184"/>
      <c r="L1354" s="18"/>
    </row>
    <row r="1355" spans="1:12" ht="12" customHeight="1">
      <c r="A1355" s="39" t="str" cm="1">
        <f t="array" ref="A1355">IFERROR(INDEX('03.Muestra'!$B$8:$B$42,SMALL(IF("Página Web"='03.Muestra'!$D$8:$D$42,ROW('03.Muestra'!$B$8:$B$42)-MIN(ROW('03.Muestra'!$D$8:$D$42))+1,""),ROW()-1348)),"")</f>
        <v/>
      </c>
      <c r="B1355" s="85" t="str" cm="1">
        <f t="array" ref="B1355">IFERROR(INDEX('03.Muestra'!$C$8:$C$42,SMALL(IF("Página Web"='03.Muestra'!$D$8:$D$42,ROW('03.Muestra'!$C$8:$C$42)-MIN(ROW('03.Muestra'!$D$8:$D$42))+1,""),ROW()-1348)),"")</f>
        <v/>
      </c>
      <c r="C1355" s="85" t="str" cm="1">
        <f t="array" ref="C1355">IFERROR(INDEX('03.Muestra'!$F$8:$F$42,SMALL(IF("Página Web"='03.Muestra'!$D$8:$D$42,ROW('03.Muestra'!$F$8:$F$42)-MIN(ROW('03.Muestra'!$D$8:$D$42))+1,""),ROW()-1348)),"")</f>
        <v/>
      </c>
      <c r="D1355" s="99" t="str">
        <f t="shared" ref="D1355:D1383" si="71">IF(AND(B1355&lt;&gt;"",C1355&lt;&gt;""),"N/T","")</f>
        <v/>
      </c>
      <c r="E1355" s="79" t="str">
        <f t="shared" si="70"/>
        <v/>
      </c>
      <c r="F1355" s="18"/>
      <c r="G1355" s="18"/>
      <c r="H1355" s="18"/>
      <c r="I1355" s="18"/>
      <c r="J1355" s="18"/>
      <c r="K1355" s="184"/>
      <c r="L1355" s="18"/>
    </row>
    <row r="1356" spans="1:12" ht="12" customHeight="1">
      <c r="A1356" s="39" t="str" cm="1">
        <f t="array" ref="A1356">IFERROR(INDEX('03.Muestra'!$B$8:$B$42,SMALL(IF("Página Web"='03.Muestra'!$D$8:$D$42,ROW('03.Muestra'!$B$8:$B$42)-MIN(ROW('03.Muestra'!$D$8:$D$42))+1,""),ROW()-1348)),"")</f>
        <v/>
      </c>
      <c r="B1356" s="85" t="str" cm="1">
        <f t="array" ref="B1356">IFERROR(INDEX('03.Muestra'!$C$8:$C$42,SMALL(IF("Página Web"='03.Muestra'!$D$8:$D$42,ROW('03.Muestra'!$C$8:$C$42)-MIN(ROW('03.Muestra'!$D$8:$D$42))+1,""),ROW()-1348)),"")</f>
        <v/>
      </c>
      <c r="C1356" s="85" t="str" cm="1">
        <f t="array" ref="C1356">IFERROR(INDEX('03.Muestra'!$F$8:$F$42,SMALL(IF("Página Web"='03.Muestra'!$D$8:$D$42,ROW('03.Muestra'!$F$8:$F$42)-MIN(ROW('03.Muestra'!$D$8:$D$42))+1,""),ROW()-1348)),"")</f>
        <v/>
      </c>
      <c r="D1356" s="99" t="str">
        <f t="shared" si="71"/>
        <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si="71"/>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101</v>
      </c>
      <c r="B1386" s="23" t="s">
        <v>93</v>
      </c>
      <c r="C1386" s="24" t="s">
        <v>180</v>
      </c>
      <c r="D1386" s="25" t="s">
        <v>103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https://www.comunidad.madrid/pjus_sede/</v>
      </c>
      <c r="D1387" s="99" t="s">
        <v>94</v>
      </c>
      <c r="E1387" s="79" t="str">
        <f t="shared" ref="E1387:E1421" si="72">IF(D1387&lt;&gt;"",IF(AND(B1387&lt;&gt;"",C1387&lt;&gt;""),"","ERR"),"")</f>
        <v/>
      </c>
      <c r="F1387" s="86" t="s">
        <v>104</v>
      </c>
      <c r="G1387" s="87" t="s">
        <v>105</v>
      </c>
      <c r="H1387" s="88" t="s">
        <v>106</v>
      </c>
      <c r="I1387" s="89" t="s">
        <v>96</v>
      </c>
      <c r="J1387" s="90" t="s">
        <v>94</v>
      </c>
      <c r="K1387" s="179" t="s">
        <v>100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Accesibilidad</v>
      </c>
      <c r="C1388" s="85" t="str" cm="1">
        <f t="array" ref="C1388">IFERROR(INDEX('03.Muestra'!$F$8:$F$42,SMALL(IF("Página Web"='03.Muestra'!$D$8:$D$42,ROW('03.Muestra'!$F$8:$F$42)-MIN(ROW('03.Muestra'!$D$8:$D$42))+1,""),ROW()-1386)),"")</f>
        <v>https://www.comunidad.madrid/pjus_sede/node/35</v>
      </c>
      <c r="D1388" s="99" t="s">
        <v>94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6</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Conozca la sede</v>
      </c>
      <c r="C1389" s="85" t="str" cm="1">
        <f t="array" ref="C1389">IFERROR(INDEX('03.Muestra'!$F$8:$F$42,SMALL(IF("Página Web"='03.Muestra'!$D$8:$D$42,ROW('03.Muestra'!$F$8:$F$42)-MIN(ROW('03.Muestra'!$D$8:$D$42))+1,""),ROW()-1386)),"")</f>
        <v>https://www.comunidad.madrid/pjus_sede/conozcalasede</v>
      </c>
      <c r="D1389" s="99" t="s">
        <v>94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Tramites y servicios</v>
      </c>
      <c r="C1390" s="85" t="str" cm="1">
        <f t="array" ref="C1390">IFERROR(INDEX('03.Muestra'!$F$8:$F$42,SMALL(IF("Página Web"='03.Muestra'!$D$8:$D$42,ROW('03.Muestra'!$F$8:$F$42)-MIN(ROW('03.Muestra'!$D$8:$D$42))+1,""),ROW()-1386)),"")</f>
        <v>https://www.comunidad.madrid/pjus_sede/tramitesyservicios</v>
      </c>
      <c r="D1390" s="99" t="s">
        <v>94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Ayuda</v>
      </c>
      <c r="C1391" s="85" t="str" cm="1">
        <f t="array" ref="C1391">IFERROR(INDEX('03.Muestra'!$F$8:$F$42,SMALL(IF("Página Web"='03.Muestra'!$D$8:$D$42,ROW('03.Muestra'!$F$8:$F$42)-MIN(ROW('03.Muestra'!$D$8:$D$42))+1,""),ROW()-1386)),"")</f>
        <v>https://www.comunidad.madrid/pjus_sede/ayuda</v>
      </c>
      <c r="D1391" s="99" t="s">
        <v>94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Resultados de búsqueda</v>
      </c>
      <c r="C1392" s="85" t="str" cm="1">
        <f t="array" ref="C1392">IFERROR(INDEX('03.Muestra'!$F$8:$F$42,SMALL(IF("Página Web"='03.Muestra'!$D$8:$D$42,ROW('03.Muestra'!$F$8:$F$42)-MIN(ROW('03.Muestra'!$D$8:$D$42))+1,""),ROW()-1386)),"")</f>
        <v>https://www.comunidad.madrid/pjus_sede/search/node/sugerencias</v>
      </c>
      <c r="D1392" s="99" t="s">
        <v>94</v>
      </c>
      <c r="E1392" s="79" t="str">
        <f t="shared" si="72"/>
        <v/>
      </c>
      <c r="F1392" s="18"/>
      <c r="G1392" s="18"/>
      <c r="H1392" s="18"/>
      <c r="I1392" s="18"/>
      <c r="K1392" s="185"/>
      <c r="L1392" s="18"/>
    </row>
    <row r="1393" spans="1:12" ht="12" customHeight="1">
      <c r="A1393" s="39" t="str" cm="1">
        <f t="array" ref="A1393">IFERROR(INDEX('03.Muestra'!$B$8:$B$42,SMALL(IF("Página Web"='03.Muestra'!$D$8:$D$42,ROW('03.Muestra'!$B$8:$B$42)-MIN(ROW('03.Muestra'!$D$8:$D$42))+1,""),ROW()-1386)),"")</f>
        <v/>
      </c>
      <c r="B1393" s="85" t="str" cm="1">
        <f t="array" ref="B1393">IFERROR(INDEX('03.Muestra'!$C$8:$C$42,SMALL(IF("Página Web"='03.Muestra'!$D$8:$D$42,ROW('03.Muestra'!$C$8:$C$42)-MIN(ROW('03.Muestra'!$D$8:$D$42))+1,""),ROW()-1386)),"")</f>
        <v/>
      </c>
      <c r="C1393" s="85" t="str" cm="1">
        <f t="array" ref="C1393">IFERROR(INDEX('03.Muestra'!$F$8:$F$42,SMALL(IF("Página Web"='03.Muestra'!$D$8:$D$42,ROW('03.Muestra'!$F$8:$F$42)-MIN(ROW('03.Muestra'!$D$8:$D$42))+1,""),ROW()-1386)),"")</f>
        <v/>
      </c>
      <c r="D1393" s="99" t="str">
        <f t="shared" ref="D1393:D1421" si="73">IF(AND(B1393&lt;&gt;"",C1393&lt;&gt;""),"N/T","")</f>
        <v/>
      </c>
      <c r="E1393" s="79" t="str">
        <f t="shared" si="72"/>
        <v/>
      </c>
      <c r="F1393" s="18"/>
      <c r="G1393" s="18"/>
      <c r="H1393" s="18"/>
      <c r="I1393" s="18"/>
      <c r="K1393" s="185"/>
      <c r="L1393" s="18"/>
    </row>
    <row r="1394" spans="1:12" ht="12" customHeight="1">
      <c r="A1394" s="39" t="str" cm="1">
        <f t="array" ref="A1394">IFERROR(INDEX('03.Muestra'!$B$8:$B$42,SMALL(IF("Página Web"='03.Muestra'!$D$8:$D$42,ROW('03.Muestra'!$B$8:$B$42)-MIN(ROW('03.Muestra'!$D$8:$D$42))+1,""),ROW()-1386)),"")</f>
        <v/>
      </c>
      <c r="B1394" s="85" t="str" cm="1">
        <f t="array" ref="B1394">IFERROR(INDEX('03.Muestra'!$C$8:$C$42,SMALL(IF("Página Web"='03.Muestra'!$D$8:$D$42,ROW('03.Muestra'!$C$8:$C$42)-MIN(ROW('03.Muestra'!$D$8:$D$42))+1,""),ROW()-1386)),"")</f>
        <v/>
      </c>
      <c r="C1394" s="85" t="str" cm="1">
        <f t="array" ref="C1394">IFERROR(INDEX('03.Muestra'!$F$8:$F$42,SMALL(IF("Página Web"='03.Muestra'!$D$8:$D$42,ROW('03.Muestra'!$F$8:$F$42)-MIN(ROW('03.Muestra'!$D$8:$D$42))+1,""),ROW()-1386)),"")</f>
        <v/>
      </c>
      <c r="D1394" s="99" t="str">
        <f t="shared" si="73"/>
        <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si="73"/>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101</v>
      </c>
      <c r="B1424" s="23" t="s">
        <v>93</v>
      </c>
      <c r="C1424" s="24" t="s">
        <v>181</v>
      </c>
      <c r="D1424" s="25" t="s">
        <v>103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https://www.comunidad.madrid/pjus_sede/</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Accesibilidad</v>
      </c>
      <c r="C1426" s="85" t="str" cm="1">
        <f t="array" ref="C1426">IFERROR(INDEX('03.Muestra'!$F$8:$F$42,SMALL(IF("Página Web"='03.Muestra'!$D$8:$D$42,ROW('03.Muestra'!$F$8:$F$42)-MIN(ROW('03.Muestra'!$D$8:$D$42))+1,""),ROW()-1424)),"")</f>
        <v>https://www.comunidad.madrid/pjus_sede/node/35</v>
      </c>
      <c r="D1426" s="99" t="s">
        <v>106</v>
      </c>
      <c r="E1426" s="79" t="str">
        <f t="shared" si="74"/>
        <v/>
      </c>
      <c r="F1426" s="91">
        <f ca="1">COUNTIF($D1425:INDIRECT("$D" &amp;  SUM(ROW()-1,'03.Muestra'!$D$45)-1),F1425)</f>
        <v>0</v>
      </c>
      <c r="G1426" s="91">
        <f ca="1">COUNTIF($D1425:INDIRECT("$D" &amp;  SUM(ROW()-1,'03.Muestra'!$D$45)-1),G1425)</f>
        <v>0</v>
      </c>
      <c r="H1426" s="91">
        <f ca="1">COUNTIF($D1425:INDIRECT("$D" &amp;  SUM(ROW()-1,'03.Muestra'!$D$45)-1),H1425)</f>
        <v>6</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Conozca la sede</v>
      </c>
      <c r="C1427" s="85" t="str" cm="1">
        <f t="array" ref="C1427">IFERROR(INDEX('03.Muestra'!$F$8:$F$42,SMALL(IF("Página Web"='03.Muestra'!$D$8:$D$42,ROW('03.Muestra'!$F$8:$F$42)-MIN(ROW('03.Muestra'!$D$8:$D$42))+1,""),ROW()-1424)),"")</f>
        <v>https://www.comunidad.madrid/pjus_sede/conozcalasede</v>
      </c>
      <c r="D1427" s="99" t="s">
        <v>106</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Tramites y servicios</v>
      </c>
      <c r="C1428" s="85" t="str" cm="1">
        <f t="array" ref="C1428">IFERROR(INDEX('03.Muestra'!$F$8:$F$42,SMALL(IF("Página Web"='03.Muestra'!$D$8:$D$42,ROW('03.Muestra'!$F$8:$F$42)-MIN(ROW('03.Muestra'!$D$8:$D$42))+1,""),ROW()-1424)),"")</f>
        <v>https://www.comunidad.madrid/pjus_sede/tramitesyservicios</v>
      </c>
      <c r="D1428" s="99" t="s">
        <v>106</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Ayuda</v>
      </c>
      <c r="C1429" s="85" t="str" cm="1">
        <f t="array" ref="C1429">IFERROR(INDEX('03.Muestra'!$F$8:$F$42,SMALL(IF("Página Web"='03.Muestra'!$D$8:$D$42,ROW('03.Muestra'!$F$8:$F$42)-MIN(ROW('03.Muestra'!$D$8:$D$42))+1,""),ROW()-1424)),"")</f>
        <v>https://www.comunidad.madrid/pjus_sede/ayuda</v>
      </c>
      <c r="D1429" s="99" t="s">
        <v>106</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Resultados de búsqueda</v>
      </c>
      <c r="C1430" s="85" t="str" cm="1">
        <f t="array" ref="C1430">IFERROR(INDEX('03.Muestra'!$F$8:$F$42,SMALL(IF("Página Web"='03.Muestra'!$D$8:$D$42,ROW('03.Muestra'!$F$8:$F$42)-MIN(ROW('03.Muestra'!$D$8:$D$42))+1,""),ROW()-1424)),"")</f>
        <v>https://www.comunidad.madrid/pjus_sede/search/node/sugerencias</v>
      </c>
      <c r="D1430" s="99" t="s">
        <v>106</v>
      </c>
      <c r="E1430" s="79" t="str">
        <f t="shared" si="74"/>
        <v/>
      </c>
      <c r="G1430" s="18"/>
      <c r="H1430" s="18"/>
      <c r="I1430" s="18"/>
      <c r="J1430" s="18"/>
      <c r="K1430" s="184"/>
      <c r="L1430" s="18"/>
    </row>
    <row r="1431" spans="1:12" ht="12" customHeight="1">
      <c r="A1431" s="39" t="str" cm="1">
        <f t="array" ref="A1431">IFERROR(INDEX('03.Muestra'!$B$8:$B$42,SMALL(IF("Página Web"='03.Muestra'!$D$8:$D$42,ROW('03.Muestra'!$B$8:$B$42)-MIN(ROW('03.Muestra'!$D$8:$D$42))+1,""),ROW()-1424)),"")</f>
        <v/>
      </c>
      <c r="B1431" s="85" t="str" cm="1">
        <f t="array" ref="B1431">IFERROR(INDEX('03.Muestra'!$C$8:$C$42,SMALL(IF("Página Web"='03.Muestra'!$D$8:$D$42,ROW('03.Muestra'!$C$8:$C$42)-MIN(ROW('03.Muestra'!$D$8:$D$42))+1,""),ROW()-1424)),"")</f>
        <v/>
      </c>
      <c r="C1431" s="85" t="str" cm="1">
        <f t="array" ref="C1431">IFERROR(INDEX('03.Muestra'!$F$8:$F$42,SMALL(IF("Página Web"='03.Muestra'!$D$8:$D$42,ROW('03.Muestra'!$F$8:$F$42)-MIN(ROW('03.Muestra'!$D$8:$D$42))+1,""),ROW()-1424)),"")</f>
        <v/>
      </c>
      <c r="D1431" s="99" t="str">
        <f t="shared" ref="D1431:D1459" si="75">IF(AND(B1431&lt;&gt;"",C1431&lt;&gt;""),"N/T","")</f>
        <v/>
      </c>
      <c r="E1431" s="79" t="str">
        <f t="shared" si="74"/>
        <v/>
      </c>
      <c r="F1431" s="18"/>
      <c r="G1431" s="18"/>
      <c r="H1431" s="18"/>
      <c r="I1431" s="18"/>
      <c r="J1431" s="18"/>
      <c r="K1431" s="184"/>
      <c r="L1431" s="18"/>
    </row>
    <row r="1432" spans="1:12" ht="12" customHeight="1">
      <c r="A1432" s="39" t="str" cm="1">
        <f t="array" ref="A1432">IFERROR(INDEX('03.Muestra'!$B$8:$B$42,SMALL(IF("Página Web"='03.Muestra'!$D$8:$D$42,ROW('03.Muestra'!$B$8:$B$42)-MIN(ROW('03.Muestra'!$D$8:$D$42))+1,""),ROW()-1424)),"")</f>
        <v/>
      </c>
      <c r="B1432" s="85" t="str" cm="1">
        <f t="array" ref="B1432">IFERROR(INDEX('03.Muestra'!$C$8:$C$42,SMALL(IF("Página Web"='03.Muestra'!$D$8:$D$42,ROW('03.Muestra'!$C$8:$C$42)-MIN(ROW('03.Muestra'!$D$8:$D$42))+1,""),ROW()-1424)),"")</f>
        <v/>
      </c>
      <c r="C1432" s="85" t="str" cm="1">
        <f t="array" ref="C1432">IFERROR(INDEX('03.Muestra'!$F$8:$F$42,SMALL(IF("Página Web"='03.Muestra'!$D$8:$D$42,ROW('03.Muestra'!$F$8:$F$42)-MIN(ROW('03.Muestra'!$D$8:$D$42))+1,""),ROW()-1424)),"")</f>
        <v/>
      </c>
      <c r="D1432" s="99" t="str">
        <f t="shared" si="75"/>
        <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si="75"/>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101</v>
      </c>
      <c r="B1462" s="23" t="s">
        <v>93</v>
      </c>
      <c r="C1462" s="24" t="s">
        <v>182</v>
      </c>
      <c r="D1462" s="25" t="s">
        <v>103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https://www.comunidad.madrid/pjus_sede/</v>
      </c>
      <c r="D1463" s="99" t="s">
        <v>94</v>
      </c>
      <c r="E1463" s="79" t="str">
        <f t="shared" ref="E1463:E1497" si="76">IF(D1463&lt;&gt;"",IF(AND(B1463&lt;&gt;"",C1463&lt;&gt;""),"","ERR"),"")</f>
        <v/>
      </c>
      <c r="F1463" s="86" t="s">
        <v>104</v>
      </c>
      <c r="G1463" s="87" t="s">
        <v>105</v>
      </c>
      <c r="H1463" s="88" t="s">
        <v>106</v>
      </c>
      <c r="I1463" s="89" t="s">
        <v>96</v>
      </c>
      <c r="J1463" s="90" t="s">
        <v>94</v>
      </c>
      <c r="K1463" s="179" t="s">
        <v>100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Accesibilidad</v>
      </c>
      <c r="C1464" s="85" t="str" cm="1">
        <f t="array" ref="C1464">IFERROR(INDEX('03.Muestra'!$F$8:$F$42,SMALL(IF("Página Web"='03.Muestra'!$D$8:$D$42,ROW('03.Muestra'!$F$8:$F$42)-MIN(ROW('03.Muestra'!$D$8:$D$42))+1,""),ROW()-1462)),"")</f>
        <v>https://www.comunidad.madrid/pjus_sede/node/35</v>
      </c>
      <c r="D1464" s="99" t="s">
        <v>94</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6</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Conozca la sede</v>
      </c>
      <c r="C1465" s="85" t="str" cm="1">
        <f t="array" ref="C1465">IFERROR(INDEX('03.Muestra'!$F$8:$F$42,SMALL(IF("Página Web"='03.Muestra'!$D$8:$D$42,ROW('03.Muestra'!$F$8:$F$42)-MIN(ROW('03.Muestra'!$D$8:$D$42))+1,""),ROW()-1462)),"")</f>
        <v>https://www.comunidad.madrid/pjus_sede/conozcalasede</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Tramites y servicios</v>
      </c>
      <c r="C1466" s="85" t="str" cm="1">
        <f t="array" ref="C1466">IFERROR(INDEX('03.Muestra'!$F$8:$F$42,SMALL(IF("Página Web"='03.Muestra'!$D$8:$D$42,ROW('03.Muestra'!$F$8:$F$42)-MIN(ROW('03.Muestra'!$D$8:$D$42))+1,""),ROW()-1462)),"")</f>
        <v>https://www.comunidad.madrid/pjus_sede/tramitesyservicios</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Ayuda</v>
      </c>
      <c r="C1467" s="85" t="str" cm="1">
        <f t="array" ref="C1467">IFERROR(INDEX('03.Muestra'!$F$8:$F$42,SMALL(IF("Página Web"='03.Muestra'!$D$8:$D$42,ROW('03.Muestra'!$F$8:$F$42)-MIN(ROW('03.Muestra'!$D$8:$D$42))+1,""),ROW()-1462)),"")</f>
        <v>https://www.comunidad.madrid/pjus_sede/ayuda</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Resultados de búsqueda</v>
      </c>
      <c r="C1468" s="85" t="str" cm="1">
        <f t="array" ref="C1468">IFERROR(INDEX('03.Muestra'!$F$8:$F$42,SMALL(IF("Página Web"='03.Muestra'!$D$8:$D$42,ROW('03.Muestra'!$F$8:$F$42)-MIN(ROW('03.Muestra'!$D$8:$D$42))+1,""),ROW()-1462)),"")</f>
        <v>https://www.comunidad.madrid/pjus_sede/search/node/sugerencias</v>
      </c>
      <c r="D1468" s="99" t="s">
        <v>94</v>
      </c>
      <c r="E1468" s="79" t="str">
        <f t="shared" si="76"/>
        <v/>
      </c>
      <c r="G1468" s="18"/>
      <c r="H1468" s="18"/>
      <c r="I1468" s="18"/>
      <c r="J1468" s="18"/>
      <c r="K1468" s="184"/>
      <c r="L1468" s="18"/>
    </row>
    <row r="1469" spans="1:12" ht="12" customHeight="1">
      <c r="A1469" s="39" t="str" cm="1">
        <f t="array" ref="A1469">IFERROR(INDEX('03.Muestra'!$B$8:$B$42,SMALL(IF("Página Web"='03.Muestra'!$D$8:$D$42,ROW('03.Muestra'!$B$8:$B$42)-MIN(ROW('03.Muestra'!$D$8:$D$42))+1,""),ROW()-1462)),"")</f>
        <v/>
      </c>
      <c r="B1469" s="85" t="str" cm="1">
        <f t="array" ref="B1469">IFERROR(INDEX('03.Muestra'!$C$8:$C$42,SMALL(IF("Página Web"='03.Muestra'!$D$8:$D$42,ROW('03.Muestra'!$C$8:$C$42)-MIN(ROW('03.Muestra'!$D$8:$D$42))+1,""),ROW()-1462)),"")</f>
        <v/>
      </c>
      <c r="C1469" s="85" t="str" cm="1">
        <f t="array" ref="C1469">IFERROR(INDEX('03.Muestra'!$F$8:$F$42,SMALL(IF("Página Web"='03.Muestra'!$D$8:$D$42,ROW('03.Muestra'!$F$8:$F$42)-MIN(ROW('03.Muestra'!$D$8:$D$42))+1,""),ROW()-1462)),"")</f>
        <v/>
      </c>
      <c r="D1469" s="99" t="str">
        <f t="shared" ref="D1469:D1497" si="77">IF(AND(B1469&lt;&gt;"",C1469&lt;&gt;""),"N/T","")</f>
        <v/>
      </c>
      <c r="E1469" s="79" t="str">
        <f t="shared" si="76"/>
        <v/>
      </c>
      <c r="F1469" s="18"/>
      <c r="G1469" s="18"/>
      <c r="H1469" s="18"/>
      <c r="I1469" s="18"/>
      <c r="J1469" s="18"/>
      <c r="K1469" s="184"/>
      <c r="L1469" s="18"/>
    </row>
    <row r="1470" spans="1:12" ht="12" customHeight="1">
      <c r="A1470" s="39" t="str" cm="1">
        <f t="array" ref="A1470">IFERROR(INDEX('03.Muestra'!$B$8:$B$42,SMALL(IF("Página Web"='03.Muestra'!$D$8:$D$42,ROW('03.Muestra'!$B$8:$B$42)-MIN(ROW('03.Muestra'!$D$8:$D$42))+1,""),ROW()-1462)),"")</f>
        <v/>
      </c>
      <c r="B1470" s="85" t="str" cm="1">
        <f t="array" ref="B1470">IFERROR(INDEX('03.Muestra'!$C$8:$C$42,SMALL(IF("Página Web"='03.Muestra'!$D$8:$D$42,ROW('03.Muestra'!$C$8:$C$42)-MIN(ROW('03.Muestra'!$D$8:$D$42))+1,""),ROW()-1462)),"")</f>
        <v/>
      </c>
      <c r="C1470" s="85" t="str" cm="1">
        <f t="array" ref="C1470">IFERROR(INDEX('03.Muestra'!$F$8:$F$42,SMALL(IF("Página Web"='03.Muestra'!$D$8:$D$42,ROW('03.Muestra'!$F$8:$F$42)-MIN(ROW('03.Muestra'!$D$8:$D$42))+1,""),ROW()-1462)),"")</f>
        <v/>
      </c>
      <c r="D1470" s="99" t="str">
        <f t="shared" si="77"/>
        <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si="77"/>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101</v>
      </c>
      <c r="B1500" s="23" t="s">
        <v>93</v>
      </c>
      <c r="C1500" s="24" t="s">
        <v>183</v>
      </c>
      <c r="D1500" s="25" t="s">
        <v>103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https://www.comunidad.madrid/pjus_sede/</v>
      </c>
      <c r="D1501" s="99" t="s">
        <v>94</v>
      </c>
      <c r="E1501" s="79" t="str">
        <f t="shared" ref="E1501:E1535" si="78">IF(D1501&lt;&gt;"",IF(AND(B1501&lt;&gt;"",C1501&lt;&gt;""),"","ERR"),"")</f>
        <v/>
      </c>
      <c r="F1501" s="86" t="s">
        <v>104</v>
      </c>
      <c r="G1501" s="87" t="s">
        <v>105</v>
      </c>
      <c r="H1501" s="88" t="s">
        <v>106</v>
      </c>
      <c r="I1501" s="89" t="s">
        <v>96</v>
      </c>
      <c r="J1501" s="90" t="s">
        <v>94</v>
      </c>
      <c r="K1501" s="179" t="s">
        <v>100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Accesibilidad</v>
      </c>
      <c r="C1502" s="85" t="str" cm="1">
        <f t="array" ref="C1502">IFERROR(INDEX('03.Muestra'!$F$8:$F$42,SMALL(IF("Página Web"='03.Muestra'!$D$8:$D$42,ROW('03.Muestra'!$F$8:$F$42)-MIN(ROW('03.Muestra'!$D$8:$D$42))+1,""),ROW()-1500)),"")</f>
        <v>https://www.comunidad.madrid/pjus_sede/node/35</v>
      </c>
      <c r="D1502" s="99" t="s">
        <v>106</v>
      </c>
      <c r="E1502" s="79" t="str">
        <f t="shared" si="78"/>
        <v/>
      </c>
      <c r="F1502" s="91">
        <f ca="1">COUNTIF($D1501:INDIRECT("$D" &amp;  SUM(ROW()-1,'03.Muestra'!$D$45)-1),F1501)</f>
        <v>0</v>
      </c>
      <c r="G1502" s="91">
        <f ca="1">COUNTIF($D1501:INDIRECT("$D" &amp;  SUM(ROW()-1,'03.Muestra'!$D$45)-1),G1501)</f>
        <v>0</v>
      </c>
      <c r="H1502" s="91">
        <f ca="1">COUNTIF($D1501:INDIRECT("$D" &amp;  SUM(ROW()-1,'03.Muestra'!$D$45)-1),H1501)</f>
        <v>4</v>
      </c>
      <c r="I1502" s="91">
        <f ca="1">COUNTIF($D1501:INDIRECT("$D" &amp;  SUM(ROW()-1,'03.Muestra'!$D$45)-1),I1501)</f>
        <v>0</v>
      </c>
      <c r="J1502" s="91">
        <f ca="1">COUNTIF($D1501:INDIRECT("$D" &amp;  SUM(ROW()-1,'03.Muestra'!$D$45)-1),J1501)</f>
        <v>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Conozca la sede</v>
      </c>
      <c r="C1503" s="85" t="str" cm="1">
        <f t="array" ref="C1503">IFERROR(INDEX('03.Muestra'!$F$8:$F$42,SMALL(IF("Página Web"='03.Muestra'!$D$8:$D$42,ROW('03.Muestra'!$F$8:$F$42)-MIN(ROW('03.Muestra'!$D$8:$D$42))+1,""),ROW()-1500)),"")</f>
        <v>https://www.comunidad.madrid/pjus_sede/conozcalasede</v>
      </c>
      <c r="D1503" s="99" t="s">
        <v>106</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Tramites y servicios</v>
      </c>
      <c r="C1504" s="85" t="str" cm="1">
        <f t="array" ref="C1504">IFERROR(INDEX('03.Muestra'!$F$8:$F$42,SMALL(IF("Página Web"='03.Muestra'!$D$8:$D$42,ROW('03.Muestra'!$F$8:$F$42)-MIN(ROW('03.Muestra'!$D$8:$D$42))+1,""),ROW()-1500)),"")</f>
        <v>https://www.comunidad.madrid/pjus_sede/tramitesyservicios</v>
      </c>
      <c r="D1504" s="99" t="s">
        <v>106</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Ayuda</v>
      </c>
      <c r="C1505" s="85" t="str" cm="1">
        <f t="array" ref="C1505">IFERROR(INDEX('03.Muestra'!$F$8:$F$42,SMALL(IF("Página Web"='03.Muestra'!$D$8:$D$42,ROW('03.Muestra'!$F$8:$F$42)-MIN(ROW('03.Muestra'!$D$8:$D$42))+1,""),ROW()-1500)),"")</f>
        <v>https://www.comunidad.madrid/pjus_sede/ayuda</v>
      </c>
      <c r="D1505" s="99" t="s">
        <v>106</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Resultados de búsqueda</v>
      </c>
      <c r="C1506" s="85" t="str" cm="1">
        <f t="array" ref="C1506">IFERROR(INDEX('03.Muestra'!$F$8:$F$42,SMALL(IF("Página Web"='03.Muestra'!$D$8:$D$42,ROW('03.Muestra'!$F$8:$F$42)-MIN(ROW('03.Muestra'!$D$8:$D$42))+1,""),ROW()-1500)),"")</f>
        <v>https://www.comunidad.madrid/pjus_sede/search/node/sugerencias</v>
      </c>
      <c r="D1506" s="99" t="s">
        <v>94</v>
      </c>
      <c r="E1506" s="79" t="str">
        <f t="shared" si="78"/>
        <v/>
      </c>
      <c r="G1506" s="18"/>
      <c r="H1506" s="18"/>
      <c r="I1506" s="18"/>
      <c r="J1506" s="18"/>
      <c r="K1506" s="184"/>
      <c r="L1506" s="18"/>
    </row>
    <row r="1507" spans="1:12" ht="12" customHeight="1">
      <c r="A1507" s="39" t="str" cm="1">
        <f t="array" ref="A1507">IFERROR(INDEX('03.Muestra'!$B$8:$B$42,SMALL(IF("Página Web"='03.Muestra'!$D$8:$D$42,ROW('03.Muestra'!$B$8:$B$42)-MIN(ROW('03.Muestra'!$D$8:$D$42))+1,""),ROW()-1500)),"")</f>
        <v/>
      </c>
      <c r="B1507" s="85" t="str" cm="1">
        <f t="array" ref="B1507">IFERROR(INDEX('03.Muestra'!$C$8:$C$42,SMALL(IF("Página Web"='03.Muestra'!$D$8:$D$42,ROW('03.Muestra'!$C$8:$C$42)-MIN(ROW('03.Muestra'!$D$8:$D$42))+1,""),ROW()-1500)),"")</f>
        <v/>
      </c>
      <c r="C1507" s="85" t="str" cm="1">
        <f t="array" ref="C1507">IFERROR(INDEX('03.Muestra'!$F$8:$F$42,SMALL(IF("Página Web"='03.Muestra'!$D$8:$D$42,ROW('03.Muestra'!$F$8:$F$42)-MIN(ROW('03.Muestra'!$D$8:$D$42))+1,""),ROW()-1500)),"")</f>
        <v/>
      </c>
      <c r="D1507" s="99" t="str">
        <f t="shared" ref="D1507:D1535" si="79">IF(AND(B1507&lt;&gt;"",C1507&lt;&gt;""),"N/T","")</f>
        <v/>
      </c>
      <c r="E1507" s="79" t="str">
        <f t="shared" si="78"/>
        <v/>
      </c>
      <c r="F1507" s="18"/>
      <c r="G1507" s="18"/>
      <c r="H1507" s="18"/>
      <c r="I1507" s="18"/>
      <c r="J1507" s="18"/>
      <c r="K1507" s="184"/>
      <c r="L1507" s="18"/>
    </row>
    <row r="1508" spans="1:12" ht="12" customHeight="1">
      <c r="A1508" s="39" t="str" cm="1">
        <f t="array" ref="A1508">IFERROR(INDEX('03.Muestra'!$B$8:$B$42,SMALL(IF("Página Web"='03.Muestra'!$D$8:$D$42,ROW('03.Muestra'!$B$8:$B$42)-MIN(ROW('03.Muestra'!$D$8:$D$42))+1,""),ROW()-1500)),"")</f>
        <v/>
      </c>
      <c r="B1508" s="85" t="str" cm="1">
        <f t="array" ref="B1508">IFERROR(INDEX('03.Muestra'!$C$8:$C$42,SMALL(IF("Página Web"='03.Muestra'!$D$8:$D$42,ROW('03.Muestra'!$C$8:$C$42)-MIN(ROW('03.Muestra'!$D$8:$D$42))+1,""),ROW()-1500)),"")</f>
        <v/>
      </c>
      <c r="C1508" s="85" t="str" cm="1">
        <f t="array" ref="C1508">IFERROR(INDEX('03.Muestra'!$F$8:$F$42,SMALL(IF("Página Web"='03.Muestra'!$D$8:$D$42,ROW('03.Muestra'!$F$8:$F$42)-MIN(ROW('03.Muestra'!$D$8:$D$42))+1,""),ROW()-1500)),"")</f>
        <v/>
      </c>
      <c r="D1508" s="99" t="str">
        <f t="shared" si="79"/>
        <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si="79"/>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101</v>
      </c>
      <c r="B1538" s="23" t="s">
        <v>93</v>
      </c>
      <c r="C1538" s="24" t="s">
        <v>184</v>
      </c>
      <c r="D1538" s="25" t="s">
        <v>103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https://www.comunidad.madrid/pjus_sede/</v>
      </c>
      <c r="D1539" s="99" t="s">
        <v>94</v>
      </c>
      <c r="E1539" s="79" t="str">
        <f t="shared" ref="E1539:E1573" si="80">IF(D1539&lt;&gt;"",IF(AND(B1539&lt;&gt;"",C1539&lt;&gt;""),"","ERR"),"")</f>
        <v/>
      </c>
      <c r="F1539" s="86" t="s">
        <v>104</v>
      </c>
      <c r="G1539" s="87" t="s">
        <v>105</v>
      </c>
      <c r="H1539" s="88" t="s">
        <v>106</v>
      </c>
      <c r="I1539" s="89" t="s">
        <v>96</v>
      </c>
      <c r="J1539" s="90" t="s">
        <v>94</v>
      </c>
      <c r="K1539" s="179" t="s">
        <v>100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Accesibilidad</v>
      </c>
      <c r="C1540" s="85" t="str" cm="1">
        <f t="array" ref="C1540">IFERROR(INDEX('03.Muestra'!$F$8:$F$42,SMALL(IF("Página Web"='03.Muestra'!$D$8:$D$42,ROW('03.Muestra'!$F$8:$F$42)-MIN(ROW('03.Muestra'!$D$8:$D$42))+1,""),ROW()-1538)),"")</f>
        <v>https://www.comunidad.madrid/pjus_sede/node/35</v>
      </c>
      <c r="D1540" s="99" t="s">
        <v>94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6</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Conozca la sede</v>
      </c>
      <c r="C1541" s="85" t="str" cm="1">
        <f t="array" ref="C1541">IFERROR(INDEX('03.Muestra'!$F$8:$F$42,SMALL(IF("Página Web"='03.Muestra'!$D$8:$D$42,ROW('03.Muestra'!$F$8:$F$42)-MIN(ROW('03.Muestra'!$D$8:$D$42))+1,""),ROW()-1538)),"")</f>
        <v>https://www.comunidad.madrid/pjus_sede/conozcalasede</v>
      </c>
      <c r="D1541" s="99" t="s">
        <v>94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Tramites y servicios</v>
      </c>
      <c r="C1542" s="85" t="str" cm="1">
        <f t="array" ref="C1542">IFERROR(INDEX('03.Muestra'!$F$8:$F$42,SMALL(IF("Página Web"='03.Muestra'!$D$8:$D$42,ROW('03.Muestra'!$F$8:$F$42)-MIN(ROW('03.Muestra'!$D$8:$D$42))+1,""),ROW()-1538)),"")</f>
        <v>https://www.comunidad.madrid/pjus_sede/tramitesyservicios</v>
      </c>
      <c r="D1542" s="99" t="s">
        <v>94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Ayuda</v>
      </c>
      <c r="C1543" s="85" t="str" cm="1">
        <f t="array" ref="C1543">IFERROR(INDEX('03.Muestra'!$F$8:$F$42,SMALL(IF("Página Web"='03.Muestra'!$D$8:$D$42,ROW('03.Muestra'!$F$8:$F$42)-MIN(ROW('03.Muestra'!$D$8:$D$42))+1,""),ROW()-1538)),"")</f>
        <v>https://www.comunidad.madrid/pjus_sede/ayuda</v>
      </c>
      <c r="D1543" s="99" t="s">
        <v>94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Resultados de búsqueda</v>
      </c>
      <c r="C1544" s="85" t="str" cm="1">
        <f t="array" ref="C1544">IFERROR(INDEX('03.Muestra'!$F$8:$F$42,SMALL(IF("Página Web"='03.Muestra'!$D$8:$D$42,ROW('03.Muestra'!$F$8:$F$42)-MIN(ROW('03.Muestra'!$D$8:$D$42))+1,""),ROW()-1538)),"")</f>
        <v>https://www.comunidad.madrid/pjus_sede/search/node/sugerencias</v>
      </c>
      <c r="D1544" s="99" t="s">
        <v>94</v>
      </c>
      <c r="E1544" s="79" t="str">
        <f t="shared" si="80"/>
        <v/>
      </c>
      <c r="G1544" s="18"/>
      <c r="H1544" s="18"/>
      <c r="I1544" s="18"/>
      <c r="J1544" s="18"/>
      <c r="K1544" s="184"/>
    </row>
    <row r="1545" spans="1:12" ht="12" customHeight="1">
      <c r="A1545" s="39" t="str" cm="1">
        <f t="array" ref="A1545">IFERROR(INDEX('03.Muestra'!$B$8:$B$42,SMALL(IF("Página Web"='03.Muestra'!$D$8:$D$42,ROW('03.Muestra'!$B$8:$B$42)-MIN(ROW('03.Muestra'!$D$8:$D$42))+1,""),ROW()-1538)),"")</f>
        <v/>
      </c>
      <c r="B1545" s="85" t="str" cm="1">
        <f t="array" ref="B1545">IFERROR(INDEX('03.Muestra'!$C$8:$C$42,SMALL(IF("Página Web"='03.Muestra'!$D$8:$D$42,ROW('03.Muestra'!$C$8:$C$42)-MIN(ROW('03.Muestra'!$D$8:$D$42))+1,""),ROW()-1538)),"")</f>
        <v/>
      </c>
      <c r="C1545" s="85" t="str" cm="1">
        <f t="array" ref="C1545">IFERROR(INDEX('03.Muestra'!$F$8:$F$42,SMALL(IF("Página Web"='03.Muestra'!$D$8:$D$42,ROW('03.Muestra'!$F$8:$F$42)-MIN(ROW('03.Muestra'!$D$8:$D$42))+1,""),ROW()-1538)),"")</f>
        <v/>
      </c>
      <c r="D1545" s="99" t="str">
        <f t="shared" ref="D1545:D1573" si="81">IF(AND(B1545&lt;&gt;"",C1545&lt;&gt;""),"N/T","")</f>
        <v/>
      </c>
      <c r="E1545" s="79" t="str">
        <f t="shared" si="80"/>
        <v/>
      </c>
      <c r="F1545" s="18"/>
      <c r="G1545" s="18"/>
      <c r="H1545" s="18"/>
      <c r="I1545" s="18"/>
      <c r="J1545" s="18"/>
      <c r="K1545" s="184"/>
    </row>
    <row r="1546" spans="1:12" ht="12" customHeight="1">
      <c r="A1546" s="39" t="str" cm="1">
        <f t="array" ref="A1546">IFERROR(INDEX('03.Muestra'!$B$8:$B$42,SMALL(IF("Página Web"='03.Muestra'!$D$8:$D$42,ROW('03.Muestra'!$B$8:$B$42)-MIN(ROW('03.Muestra'!$D$8:$D$42))+1,""),ROW()-1538)),"")</f>
        <v/>
      </c>
      <c r="B1546" s="85" t="str" cm="1">
        <f t="array" ref="B1546">IFERROR(INDEX('03.Muestra'!$C$8:$C$42,SMALL(IF("Página Web"='03.Muestra'!$D$8:$D$42,ROW('03.Muestra'!$C$8:$C$42)-MIN(ROW('03.Muestra'!$D$8:$D$42))+1,""),ROW()-1538)),"")</f>
        <v/>
      </c>
      <c r="C1546" s="85" t="str" cm="1">
        <f t="array" ref="C1546">IFERROR(INDEX('03.Muestra'!$F$8:$F$42,SMALL(IF("Página Web"='03.Muestra'!$D$8:$D$42,ROW('03.Muestra'!$F$8:$F$42)-MIN(ROW('03.Muestra'!$D$8:$D$42))+1,""),ROW()-1538)),"")</f>
        <v/>
      </c>
      <c r="D1546" s="99" t="str">
        <f t="shared" si="81"/>
        <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si="81"/>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101</v>
      </c>
      <c r="B1576" s="23" t="s">
        <v>93</v>
      </c>
      <c r="C1576" s="24" t="s">
        <v>185</v>
      </c>
      <c r="D1576" s="25" t="s">
        <v>103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https://www.comunidad.madrid/pjus_sede/</v>
      </c>
      <c r="D1577" s="99" t="s">
        <v>94</v>
      </c>
      <c r="E1577" s="79" t="str">
        <f t="shared" ref="E1577:E1611" si="82">IF(D1577&lt;&gt;"",IF(AND(B1577&lt;&gt;"",C1577&lt;&gt;""),"","ERR"),"")</f>
        <v/>
      </c>
      <c r="F1577" s="86" t="s">
        <v>104</v>
      </c>
      <c r="G1577" s="87" t="s">
        <v>105</v>
      </c>
      <c r="H1577" s="88" t="s">
        <v>106</v>
      </c>
      <c r="I1577" s="89" t="s">
        <v>96</v>
      </c>
      <c r="J1577" s="90" t="s">
        <v>94</v>
      </c>
      <c r="K1577" s="179" t="s">
        <v>100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Accesibilidad</v>
      </c>
      <c r="C1578" s="85" t="str" cm="1">
        <f t="array" ref="C1578">IFERROR(INDEX('03.Muestra'!$F$8:$F$42,SMALL(IF("Página Web"='03.Muestra'!$D$8:$D$42,ROW('03.Muestra'!$F$8:$F$42)-MIN(ROW('03.Muestra'!$D$8:$D$42))+1,""),ROW()-1576)),"")</f>
        <v>https://www.comunidad.madrid/pjus_sede/node/35</v>
      </c>
      <c r="D1578" s="99" t="s">
        <v>94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6</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Conozca la sede</v>
      </c>
      <c r="C1579" s="85" t="str" cm="1">
        <f t="array" ref="C1579">IFERROR(INDEX('03.Muestra'!$F$8:$F$42,SMALL(IF("Página Web"='03.Muestra'!$D$8:$D$42,ROW('03.Muestra'!$F$8:$F$42)-MIN(ROW('03.Muestra'!$D$8:$D$42))+1,""),ROW()-1576)),"")</f>
        <v>https://www.comunidad.madrid/pjus_sede/conozcalasede</v>
      </c>
      <c r="D1579" s="99" t="s">
        <v>94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Tramites y servicios</v>
      </c>
      <c r="C1580" s="85" t="str" cm="1">
        <f t="array" ref="C1580">IFERROR(INDEX('03.Muestra'!$F$8:$F$42,SMALL(IF("Página Web"='03.Muestra'!$D$8:$D$42,ROW('03.Muestra'!$F$8:$F$42)-MIN(ROW('03.Muestra'!$D$8:$D$42))+1,""),ROW()-1576)),"")</f>
        <v>https://www.comunidad.madrid/pjus_sede/tramitesyservicios</v>
      </c>
      <c r="D1580" s="99" t="s">
        <v>94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Ayuda</v>
      </c>
      <c r="C1581" s="85" t="str" cm="1">
        <f t="array" ref="C1581">IFERROR(INDEX('03.Muestra'!$F$8:$F$42,SMALL(IF("Página Web"='03.Muestra'!$D$8:$D$42,ROW('03.Muestra'!$F$8:$F$42)-MIN(ROW('03.Muestra'!$D$8:$D$42))+1,""),ROW()-1576)),"")</f>
        <v>https://www.comunidad.madrid/pjus_sede/ayuda</v>
      </c>
      <c r="D1581" s="99" t="s">
        <v>94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Resultados de búsqueda</v>
      </c>
      <c r="C1582" s="85" t="str" cm="1">
        <f t="array" ref="C1582">IFERROR(INDEX('03.Muestra'!$F$8:$F$42,SMALL(IF("Página Web"='03.Muestra'!$D$8:$D$42,ROW('03.Muestra'!$F$8:$F$42)-MIN(ROW('03.Muestra'!$D$8:$D$42))+1,""),ROW()-1576)),"")</f>
        <v>https://www.comunidad.madrid/pjus_sede/search/node/sugerencias</v>
      </c>
      <c r="D1582" s="99" t="s">
        <v>94</v>
      </c>
      <c r="E1582" s="79" t="str">
        <f t="shared" si="82"/>
        <v/>
      </c>
      <c r="G1582" s="18"/>
      <c r="H1582" s="18"/>
      <c r="I1582" s="18"/>
      <c r="J1582" s="18"/>
      <c r="K1582" s="184"/>
      <c r="L1582" s="18"/>
    </row>
    <row r="1583" spans="1:12" ht="12" customHeight="1">
      <c r="A1583" s="39" t="str" cm="1">
        <f t="array" ref="A1583">IFERROR(INDEX('03.Muestra'!$B$8:$B$42,SMALL(IF("Página Web"='03.Muestra'!$D$8:$D$42,ROW('03.Muestra'!$B$8:$B$42)-MIN(ROW('03.Muestra'!$D$8:$D$42))+1,""),ROW()-1576)),"")</f>
        <v/>
      </c>
      <c r="B1583" s="85" t="str" cm="1">
        <f t="array" ref="B1583">IFERROR(INDEX('03.Muestra'!$C$8:$C$42,SMALL(IF("Página Web"='03.Muestra'!$D$8:$D$42,ROW('03.Muestra'!$C$8:$C$42)-MIN(ROW('03.Muestra'!$D$8:$D$42))+1,""),ROW()-1576)),"")</f>
        <v/>
      </c>
      <c r="C1583" s="85" t="str" cm="1">
        <f t="array" ref="C1583">IFERROR(INDEX('03.Muestra'!$F$8:$F$42,SMALL(IF("Página Web"='03.Muestra'!$D$8:$D$42,ROW('03.Muestra'!$F$8:$F$42)-MIN(ROW('03.Muestra'!$D$8:$D$42))+1,""),ROW()-1576)),"")</f>
        <v/>
      </c>
      <c r="D1583" s="99" t="str">
        <f t="shared" ref="D1583:D1611" si="83">IF(AND(B1583&lt;&gt;"",C1583&lt;&gt;""),"N/T","")</f>
        <v/>
      </c>
      <c r="E1583" s="79" t="str">
        <f t="shared" si="82"/>
        <v/>
      </c>
      <c r="F1583" s="18"/>
      <c r="G1583" s="18"/>
      <c r="H1583" s="18"/>
      <c r="I1583" s="18"/>
      <c r="J1583" s="18"/>
      <c r="K1583" s="184"/>
      <c r="L1583" s="18"/>
    </row>
    <row r="1584" spans="1:12" ht="12" customHeight="1">
      <c r="A1584" s="39" t="str" cm="1">
        <f t="array" ref="A1584">IFERROR(INDEX('03.Muestra'!$B$8:$B$42,SMALL(IF("Página Web"='03.Muestra'!$D$8:$D$42,ROW('03.Muestra'!$B$8:$B$42)-MIN(ROW('03.Muestra'!$D$8:$D$42))+1,""),ROW()-1576)),"")</f>
        <v/>
      </c>
      <c r="B1584" s="85" t="str" cm="1">
        <f t="array" ref="B1584">IFERROR(INDEX('03.Muestra'!$C$8:$C$42,SMALL(IF("Página Web"='03.Muestra'!$D$8:$D$42,ROW('03.Muestra'!$C$8:$C$42)-MIN(ROW('03.Muestra'!$D$8:$D$42))+1,""),ROW()-1576)),"")</f>
        <v/>
      </c>
      <c r="C1584" s="85" t="str" cm="1">
        <f t="array" ref="C1584">IFERROR(INDEX('03.Muestra'!$F$8:$F$42,SMALL(IF("Página Web"='03.Muestra'!$D$8:$D$42,ROW('03.Muestra'!$F$8:$F$42)-MIN(ROW('03.Muestra'!$D$8:$D$42))+1,""),ROW()-1576)),"")</f>
        <v/>
      </c>
      <c r="D1584" s="99" t="str">
        <f t="shared" si="83"/>
        <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si="83"/>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101</v>
      </c>
      <c r="B1614" s="23" t="s">
        <v>93</v>
      </c>
      <c r="C1614" s="24" t="s">
        <v>186</v>
      </c>
      <c r="D1614" s="25" t="s">
        <v>103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https://www.comunidad.madrid/pjus_sede/</v>
      </c>
      <c r="D1615" s="99"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Accesibilidad</v>
      </c>
      <c r="C1616" s="85" t="str" cm="1">
        <f t="array" ref="C1616">IFERROR(INDEX('03.Muestra'!$F$8:$F$42,SMALL(IF("Página Web"='03.Muestra'!$D$8:$D$42,ROW('03.Muestra'!$F$8:$F$42)-MIN(ROW('03.Muestra'!$D$8:$D$42))+1,""),ROW()-1614)),"")</f>
        <v>https://www.comunidad.madrid/pjus_sede/node/35</v>
      </c>
      <c r="D1616" s="99" t="s">
        <v>106</v>
      </c>
      <c r="E1616" s="79" t="str">
        <f t="shared" si="84"/>
        <v/>
      </c>
      <c r="F1616" s="91">
        <f ca="1">COUNTIF($D1615:INDIRECT("$D" &amp;  SUM(ROW()-1,'03.Muestra'!$D$45)-1),F1615)</f>
        <v>0</v>
      </c>
      <c r="G1616" s="91">
        <f ca="1">COUNTIF($D1615:INDIRECT("$D" &amp;  SUM(ROW()-1,'03.Muestra'!$D$45)-1),G1615)</f>
        <v>0</v>
      </c>
      <c r="H1616" s="91">
        <f ca="1">COUNTIF($D1615:INDIRECT("$D" &amp;  SUM(ROW()-1,'03.Muestra'!$D$45)-1),H1615)</f>
        <v>6</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Conozca la sede</v>
      </c>
      <c r="C1617" s="85" t="str" cm="1">
        <f t="array" ref="C1617">IFERROR(INDEX('03.Muestra'!$F$8:$F$42,SMALL(IF("Página Web"='03.Muestra'!$D$8:$D$42,ROW('03.Muestra'!$F$8:$F$42)-MIN(ROW('03.Muestra'!$D$8:$D$42))+1,""),ROW()-1614)),"")</f>
        <v>https://www.comunidad.madrid/pjus_sede/conozcalasede</v>
      </c>
      <c r="D1617" s="99" t="s">
        <v>106</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Tramites y servicios</v>
      </c>
      <c r="C1618" s="85" t="str" cm="1">
        <f t="array" ref="C1618">IFERROR(INDEX('03.Muestra'!$F$8:$F$42,SMALL(IF("Página Web"='03.Muestra'!$D$8:$D$42,ROW('03.Muestra'!$F$8:$F$42)-MIN(ROW('03.Muestra'!$D$8:$D$42))+1,""),ROW()-1614)),"")</f>
        <v>https://www.comunidad.madrid/pjus_sede/tramitesyservicios</v>
      </c>
      <c r="D1618" s="99" t="s">
        <v>106</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Ayuda</v>
      </c>
      <c r="C1619" s="85" t="str" cm="1">
        <f t="array" ref="C1619">IFERROR(INDEX('03.Muestra'!$F$8:$F$42,SMALL(IF("Página Web"='03.Muestra'!$D$8:$D$42,ROW('03.Muestra'!$F$8:$F$42)-MIN(ROW('03.Muestra'!$D$8:$D$42))+1,""),ROW()-1614)),"")</f>
        <v>https://www.comunidad.madrid/pjus_sede/ayuda</v>
      </c>
      <c r="D1619" s="99" t="s">
        <v>106</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Resultados de búsqueda</v>
      </c>
      <c r="C1620" s="85" t="str" cm="1">
        <f t="array" ref="C1620">IFERROR(INDEX('03.Muestra'!$F$8:$F$42,SMALL(IF("Página Web"='03.Muestra'!$D$8:$D$42,ROW('03.Muestra'!$F$8:$F$42)-MIN(ROW('03.Muestra'!$D$8:$D$42))+1,""),ROW()-1614)),"")</f>
        <v>https://www.comunidad.madrid/pjus_sede/search/node/sugerencias</v>
      </c>
      <c r="D1620" s="99" t="s">
        <v>106</v>
      </c>
      <c r="E1620" s="79" t="str">
        <f t="shared" si="84"/>
        <v/>
      </c>
      <c r="G1620" s="18"/>
      <c r="H1620" s="18"/>
      <c r="I1620" s="18"/>
      <c r="J1620" s="18"/>
      <c r="K1620" s="184"/>
    </row>
    <row r="1621" spans="1:11" ht="12" customHeight="1">
      <c r="A1621" s="39" t="str" cm="1">
        <f t="array" ref="A1621">IFERROR(INDEX('03.Muestra'!$B$8:$B$42,SMALL(IF("Página Web"='03.Muestra'!$D$8:$D$42,ROW('03.Muestra'!$B$8:$B$42)-MIN(ROW('03.Muestra'!$D$8:$D$42))+1,""),ROW()-1614)),"")</f>
        <v/>
      </c>
      <c r="B1621" s="85" t="str" cm="1">
        <f t="array" ref="B1621">IFERROR(INDEX('03.Muestra'!$C$8:$C$42,SMALL(IF("Página Web"='03.Muestra'!$D$8:$D$42,ROW('03.Muestra'!$C$8:$C$42)-MIN(ROW('03.Muestra'!$D$8:$D$42))+1,""),ROW()-1614)),"")</f>
        <v/>
      </c>
      <c r="C1621" s="85" t="str" cm="1">
        <f t="array" ref="C1621">IFERROR(INDEX('03.Muestra'!$F$8:$F$42,SMALL(IF("Página Web"='03.Muestra'!$D$8:$D$42,ROW('03.Muestra'!$F$8:$F$42)-MIN(ROW('03.Muestra'!$D$8:$D$42))+1,""),ROW()-1614)),"")</f>
        <v/>
      </c>
      <c r="D1621" s="99" t="str">
        <f t="shared" ref="D1621:D1649" si="85">IF(AND(B1621&lt;&gt;"",C1621&lt;&gt;""),"N/T","")</f>
        <v/>
      </c>
      <c r="E1621" s="79" t="str">
        <f t="shared" si="84"/>
        <v/>
      </c>
      <c r="F1621" s="18"/>
      <c r="G1621" s="18"/>
      <c r="H1621" s="18"/>
      <c r="I1621" s="18"/>
      <c r="J1621" s="18"/>
      <c r="K1621" s="184"/>
    </row>
    <row r="1622" spans="1:11" ht="12" customHeight="1">
      <c r="A1622" s="39" t="str" cm="1">
        <f t="array" ref="A1622">IFERROR(INDEX('03.Muestra'!$B$8:$B$42,SMALL(IF("Página Web"='03.Muestra'!$D$8:$D$42,ROW('03.Muestra'!$B$8:$B$42)-MIN(ROW('03.Muestra'!$D$8:$D$42))+1,""),ROW()-1614)),"")</f>
        <v/>
      </c>
      <c r="B1622" s="85" t="str" cm="1">
        <f t="array" ref="B1622">IFERROR(INDEX('03.Muestra'!$C$8:$C$42,SMALL(IF("Página Web"='03.Muestra'!$D$8:$D$42,ROW('03.Muestra'!$C$8:$C$42)-MIN(ROW('03.Muestra'!$D$8:$D$42))+1,""),ROW()-1614)),"")</f>
        <v/>
      </c>
      <c r="C1622" s="85" t="str" cm="1">
        <f t="array" ref="C1622">IFERROR(INDEX('03.Muestra'!$F$8:$F$42,SMALL(IF("Página Web"='03.Muestra'!$D$8:$D$42,ROW('03.Muestra'!$F$8:$F$42)-MIN(ROW('03.Muestra'!$D$8:$D$42))+1,""),ROW()-1614)),"")</f>
        <v/>
      </c>
      <c r="D1622" s="99" t="str">
        <f t="shared" si="85"/>
        <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si="85"/>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101</v>
      </c>
      <c r="B1652" s="23" t="s">
        <v>93</v>
      </c>
      <c r="C1652" s="24" t="s">
        <v>187</v>
      </c>
      <c r="D1652" s="25" t="s">
        <v>103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https://www.comunidad.madrid/pjus_sede/</v>
      </c>
      <c r="D1653" s="99" t="s">
        <v>94</v>
      </c>
      <c r="E1653" s="79" t="str">
        <f t="shared" ref="E1653:E1687" si="86">IF(D1653&lt;&gt;"",IF(AND(B1653&lt;&gt;"",C1653&lt;&gt;""),"","ERR"),"")</f>
        <v/>
      </c>
      <c r="F1653" s="86" t="s">
        <v>104</v>
      </c>
      <c r="G1653" s="87" t="s">
        <v>105</v>
      </c>
      <c r="H1653" s="88" t="s">
        <v>106</v>
      </c>
      <c r="I1653" s="89" t="s">
        <v>96</v>
      </c>
      <c r="J1653" s="90" t="s">
        <v>94</v>
      </c>
      <c r="K1653" s="179" t="s">
        <v>100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Accesibilidad</v>
      </c>
      <c r="C1654" s="85" t="str" cm="1">
        <f t="array" ref="C1654">IFERROR(INDEX('03.Muestra'!$F$8:$F$42,SMALL(IF("Página Web"='03.Muestra'!$D$8:$D$42,ROW('03.Muestra'!$F$8:$F$42)-MIN(ROW('03.Muestra'!$D$8:$D$42))+1,""),ROW()-1652)),"")</f>
        <v>https://www.comunidad.madrid/pjus_sede/node/35</v>
      </c>
      <c r="D1654" s="99" t="s">
        <v>106</v>
      </c>
      <c r="E1654" s="79" t="str">
        <f t="shared" si="86"/>
        <v/>
      </c>
      <c r="F1654" s="91">
        <f ca="1">COUNTIF($D1653:INDIRECT("$D" &amp;  SUM(ROW()-1,'03.Muestra'!$D$45)-1),F1653)</f>
        <v>0</v>
      </c>
      <c r="G1654" s="91">
        <f ca="1">COUNTIF($D1653:INDIRECT("$D" &amp;  SUM(ROW()-1,'03.Muestra'!$D$45)-1),G1653)</f>
        <v>0</v>
      </c>
      <c r="H1654" s="91">
        <f ca="1">COUNTIF($D1653:INDIRECT("$D" &amp;  SUM(ROW()-1,'03.Muestra'!$D$45)-1),H1653)</f>
        <v>4</v>
      </c>
      <c r="I1654" s="91">
        <f ca="1">COUNTIF($D1653:INDIRECT("$D" &amp;  SUM(ROW()-1,'03.Muestra'!$D$45)-1),I1653)</f>
        <v>1</v>
      </c>
      <c r="J1654" s="91">
        <f ca="1">COUNTIF($D1653:INDIRECT("$D" &amp;  SUM(ROW()-1,'03.Muestra'!$D$45)-1),J1653)</f>
        <v>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Conozca la sede</v>
      </c>
      <c r="C1655" s="85" t="str" cm="1">
        <f t="array" ref="C1655">IFERROR(INDEX('03.Muestra'!$F$8:$F$42,SMALL(IF("Página Web"='03.Muestra'!$D$8:$D$42,ROW('03.Muestra'!$F$8:$F$42)-MIN(ROW('03.Muestra'!$D$8:$D$42))+1,""),ROW()-1652)),"")</f>
        <v>https://www.comunidad.madrid/pjus_sede/conozcalasede</v>
      </c>
      <c r="D1655" s="99" t="s">
        <v>106</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Tramites y servicios</v>
      </c>
      <c r="C1656" s="85" t="str" cm="1">
        <f t="array" ref="C1656">IFERROR(INDEX('03.Muestra'!$F$8:$F$42,SMALL(IF("Página Web"='03.Muestra'!$D$8:$D$42,ROW('03.Muestra'!$F$8:$F$42)-MIN(ROW('03.Muestra'!$D$8:$D$42))+1,""),ROW()-1652)),"")</f>
        <v>https://www.comunidad.madrid/pjus_sede/tramitesyservicios</v>
      </c>
      <c r="D1656" s="99" t="s">
        <v>106</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Ayuda</v>
      </c>
      <c r="C1657" s="85" t="str" cm="1">
        <f t="array" ref="C1657">IFERROR(INDEX('03.Muestra'!$F$8:$F$42,SMALL(IF("Página Web"='03.Muestra'!$D$8:$D$42,ROW('03.Muestra'!$F$8:$F$42)-MIN(ROW('03.Muestra'!$D$8:$D$42))+1,""),ROW()-1652)),"")</f>
        <v>https://www.comunidad.madrid/pjus_sede/ayuda</v>
      </c>
      <c r="D1657" s="99" t="s">
        <v>106</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Resultados de búsqueda</v>
      </c>
      <c r="C1658" s="85" t="str" cm="1">
        <f t="array" ref="C1658">IFERROR(INDEX('03.Muestra'!$F$8:$F$42,SMALL(IF("Página Web"='03.Muestra'!$D$8:$D$42,ROW('03.Muestra'!$F$8:$F$42)-MIN(ROW('03.Muestra'!$D$8:$D$42))+1,""),ROW()-1652)),"")</f>
        <v>https://www.comunidad.madrid/pjus_sede/search/node/sugerencias</v>
      </c>
      <c r="D1658" s="99" t="s">
        <v>96</v>
      </c>
      <c r="E1658" s="79" t="str">
        <f t="shared" si="86"/>
        <v/>
      </c>
      <c r="G1658" s="18"/>
      <c r="H1658" s="18"/>
      <c r="I1658" s="18"/>
      <c r="J1658" s="18"/>
      <c r="K1658" s="184"/>
    </row>
    <row r="1659" spans="1:11" ht="12" customHeight="1">
      <c r="A1659" s="39" t="str" cm="1">
        <f t="array" ref="A1659">IFERROR(INDEX('03.Muestra'!$B$8:$B$42,SMALL(IF("Página Web"='03.Muestra'!$D$8:$D$42,ROW('03.Muestra'!$B$8:$B$42)-MIN(ROW('03.Muestra'!$D$8:$D$42))+1,""),ROW()-1652)),"")</f>
        <v/>
      </c>
      <c r="B1659" s="85" t="str" cm="1">
        <f t="array" ref="B1659">IFERROR(INDEX('03.Muestra'!$C$8:$C$42,SMALL(IF("Página Web"='03.Muestra'!$D$8:$D$42,ROW('03.Muestra'!$C$8:$C$42)-MIN(ROW('03.Muestra'!$D$8:$D$42))+1,""),ROW()-1652)),"")</f>
        <v/>
      </c>
      <c r="C1659" s="85" t="str" cm="1">
        <f t="array" ref="C1659">IFERROR(INDEX('03.Muestra'!$F$8:$F$42,SMALL(IF("Página Web"='03.Muestra'!$D$8:$D$42,ROW('03.Muestra'!$F$8:$F$42)-MIN(ROW('03.Muestra'!$D$8:$D$42))+1,""),ROW()-1652)),"")</f>
        <v/>
      </c>
      <c r="D1659" s="99" t="str">
        <f t="shared" ref="D1659:D1687" si="87">IF(AND(B1659&lt;&gt;"",C1659&lt;&gt;""),"N/T","")</f>
        <v/>
      </c>
      <c r="E1659" s="79" t="str">
        <f t="shared" si="86"/>
        <v/>
      </c>
      <c r="F1659" s="18"/>
      <c r="G1659" s="18"/>
      <c r="H1659" s="18"/>
      <c r="I1659" s="18"/>
      <c r="J1659" s="18"/>
      <c r="K1659" s="184"/>
    </row>
    <row r="1660" spans="1:11" ht="12" customHeight="1">
      <c r="A1660" s="39" t="str" cm="1">
        <f t="array" ref="A1660">IFERROR(INDEX('03.Muestra'!$B$8:$B$42,SMALL(IF("Página Web"='03.Muestra'!$D$8:$D$42,ROW('03.Muestra'!$B$8:$B$42)-MIN(ROW('03.Muestra'!$D$8:$D$42))+1,""),ROW()-1652)),"")</f>
        <v/>
      </c>
      <c r="B1660" s="85" t="str" cm="1">
        <f t="array" ref="B1660">IFERROR(INDEX('03.Muestra'!$C$8:$C$42,SMALL(IF("Página Web"='03.Muestra'!$D$8:$D$42,ROW('03.Muestra'!$C$8:$C$42)-MIN(ROW('03.Muestra'!$D$8:$D$42))+1,""),ROW()-1652)),"")</f>
        <v/>
      </c>
      <c r="C1660" s="85" t="str" cm="1">
        <f t="array" ref="C1660">IFERROR(INDEX('03.Muestra'!$F$8:$F$42,SMALL(IF("Página Web"='03.Muestra'!$D$8:$D$42,ROW('03.Muestra'!$F$8:$F$42)-MIN(ROW('03.Muestra'!$D$8:$D$42))+1,""),ROW()-1652)),"")</f>
        <v/>
      </c>
      <c r="D1660" s="99" t="str">
        <f t="shared" si="87"/>
        <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si="87"/>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101</v>
      </c>
      <c r="B1690" s="23" t="s">
        <v>93</v>
      </c>
      <c r="C1690" s="24" t="s">
        <v>188</v>
      </c>
      <c r="D1690" s="25" t="s">
        <v>103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https://www.comunidad.madrid/pjus_sede/</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Accesibilidad</v>
      </c>
      <c r="C1692" s="85" t="str" cm="1">
        <f t="array" ref="C1692">IFERROR(INDEX('03.Muestra'!$F$8:$F$42,SMALL(IF("Página Web"='03.Muestra'!$D$8:$D$42,ROW('03.Muestra'!$F$8:$F$42)-MIN(ROW('03.Muestra'!$D$8:$D$42))+1,""),ROW()-1690)),"")</f>
        <v>https://www.comunidad.madrid/pjus_sede/node/35</v>
      </c>
      <c r="D1692" s="99" t="s">
        <v>106</v>
      </c>
      <c r="E1692" s="79" t="str">
        <f t="shared" si="88"/>
        <v/>
      </c>
      <c r="F1692" s="91">
        <f ca="1">COUNTIF($D1691:INDIRECT("$D" &amp;  SUM(ROW()-1,'03.Muestra'!$D$45)-1),F1691)</f>
        <v>0</v>
      </c>
      <c r="G1692" s="91">
        <f ca="1">COUNTIF($D1691:INDIRECT("$D" &amp;  SUM(ROW()-1,'03.Muestra'!$D$45)-1),G1691)</f>
        <v>0</v>
      </c>
      <c r="H1692" s="91">
        <f ca="1">COUNTIF($D1691:INDIRECT("$D" &amp;  SUM(ROW()-1,'03.Muestra'!$D$45)-1),H1691)</f>
        <v>6</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Conozca la sede</v>
      </c>
      <c r="C1693" s="85" t="str" cm="1">
        <f t="array" ref="C1693">IFERROR(INDEX('03.Muestra'!$F$8:$F$42,SMALL(IF("Página Web"='03.Muestra'!$D$8:$D$42,ROW('03.Muestra'!$F$8:$F$42)-MIN(ROW('03.Muestra'!$D$8:$D$42))+1,""),ROW()-1690)),"")</f>
        <v>https://www.comunidad.madrid/pjus_sede/conozcalasede</v>
      </c>
      <c r="D1693" s="99" t="s">
        <v>106</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Tramites y servicios</v>
      </c>
      <c r="C1694" s="85" t="str" cm="1">
        <f t="array" ref="C1694">IFERROR(INDEX('03.Muestra'!$F$8:$F$42,SMALL(IF("Página Web"='03.Muestra'!$D$8:$D$42,ROW('03.Muestra'!$F$8:$F$42)-MIN(ROW('03.Muestra'!$D$8:$D$42))+1,""),ROW()-1690)),"")</f>
        <v>https://www.comunidad.madrid/pjus_sede/tramitesyservicios</v>
      </c>
      <c r="D1694" s="99" t="s">
        <v>106</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Ayuda</v>
      </c>
      <c r="C1695" s="85" t="str" cm="1">
        <f t="array" ref="C1695">IFERROR(INDEX('03.Muestra'!$F$8:$F$42,SMALL(IF("Página Web"='03.Muestra'!$D$8:$D$42,ROW('03.Muestra'!$F$8:$F$42)-MIN(ROW('03.Muestra'!$D$8:$D$42))+1,""),ROW()-1690)),"")</f>
        <v>https://www.comunidad.madrid/pjus_sede/ayuda</v>
      </c>
      <c r="D1695" s="99" t="s">
        <v>106</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Resultados de búsqueda</v>
      </c>
      <c r="C1696" s="85" t="str" cm="1">
        <f t="array" ref="C1696">IFERROR(INDEX('03.Muestra'!$F$8:$F$42,SMALL(IF("Página Web"='03.Muestra'!$D$8:$D$42,ROW('03.Muestra'!$F$8:$F$42)-MIN(ROW('03.Muestra'!$D$8:$D$42))+1,""),ROW()-1690)),"")</f>
        <v>https://www.comunidad.madrid/pjus_sede/search/node/sugerencias</v>
      </c>
      <c r="D1696" s="99" t="s">
        <v>106</v>
      </c>
      <c r="E1696" s="79" t="str">
        <f t="shared" si="88"/>
        <v/>
      </c>
      <c r="G1696" s="18"/>
      <c r="H1696" s="18"/>
      <c r="I1696" s="18"/>
      <c r="J1696" s="18"/>
      <c r="K1696" s="184"/>
    </row>
    <row r="1697" spans="1:11" ht="12" customHeight="1">
      <c r="A1697" s="39" t="str" cm="1">
        <f t="array" ref="A1697">IFERROR(INDEX('03.Muestra'!$B$8:$B$42,SMALL(IF("Página Web"='03.Muestra'!$D$8:$D$42,ROW('03.Muestra'!$B$8:$B$42)-MIN(ROW('03.Muestra'!$D$8:$D$42))+1,""),ROW()-1690)),"")</f>
        <v/>
      </c>
      <c r="B1697" s="85" t="str" cm="1">
        <f t="array" ref="B1697">IFERROR(INDEX('03.Muestra'!$C$8:$C$42,SMALL(IF("Página Web"='03.Muestra'!$D$8:$D$42,ROW('03.Muestra'!$C$8:$C$42)-MIN(ROW('03.Muestra'!$D$8:$D$42))+1,""),ROW()-1690)),"")</f>
        <v/>
      </c>
      <c r="C1697" s="85" t="str" cm="1">
        <f t="array" ref="C1697">IFERROR(INDEX('03.Muestra'!$F$8:$F$42,SMALL(IF("Página Web"='03.Muestra'!$D$8:$D$42,ROW('03.Muestra'!$F$8:$F$42)-MIN(ROW('03.Muestra'!$D$8:$D$42))+1,""),ROW()-1690)),"")</f>
        <v/>
      </c>
      <c r="D1697" s="99" t="str">
        <f t="shared" ref="D1697:D1725" si="89">IF(AND(B1697&lt;&gt;"",C1697&lt;&gt;""),"N/T","")</f>
        <v/>
      </c>
      <c r="E1697" s="79" t="str">
        <f t="shared" si="88"/>
        <v/>
      </c>
      <c r="F1697" s="18"/>
      <c r="G1697" s="18"/>
      <c r="H1697" s="18"/>
      <c r="I1697" s="18"/>
      <c r="J1697" s="18"/>
      <c r="K1697" s="184"/>
    </row>
    <row r="1698" spans="1:11" ht="12" customHeight="1">
      <c r="A1698" s="39" t="str" cm="1">
        <f t="array" ref="A1698">IFERROR(INDEX('03.Muestra'!$B$8:$B$42,SMALL(IF("Página Web"='03.Muestra'!$D$8:$D$42,ROW('03.Muestra'!$B$8:$B$42)-MIN(ROW('03.Muestra'!$D$8:$D$42))+1,""),ROW()-1690)),"")</f>
        <v/>
      </c>
      <c r="B1698" s="85" t="str" cm="1">
        <f t="array" ref="B1698">IFERROR(INDEX('03.Muestra'!$C$8:$C$42,SMALL(IF("Página Web"='03.Muestra'!$D$8:$D$42,ROW('03.Muestra'!$C$8:$C$42)-MIN(ROW('03.Muestra'!$D$8:$D$42))+1,""),ROW()-1690)),"")</f>
        <v/>
      </c>
      <c r="C1698" s="85" t="str" cm="1">
        <f t="array" ref="C1698">IFERROR(INDEX('03.Muestra'!$F$8:$F$42,SMALL(IF("Página Web"='03.Muestra'!$D$8:$D$42,ROW('03.Muestra'!$F$8:$F$42)-MIN(ROW('03.Muestra'!$D$8:$D$42))+1,""),ROW()-1690)),"")</f>
        <v/>
      </c>
      <c r="D1698" s="99" t="str">
        <f t="shared" si="89"/>
        <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si="89"/>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101</v>
      </c>
      <c r="B1728" s="23" t="s">
        <v>93</v>
      </c>
      <c r="C1728" s="24" t="s">
        <v>189</v>
      </c>
      <c r="D1728" s="25" t="s">
        <v>103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https://www.comunidad.madrid/pjus_sede/</v>
      </c>
      <c r="D1729" s="99" t="s">
        <v>106</v>
      </c>
      <c r="E1729" s="79" t="str">
        <f t="shared" ref="E1729:E1763" si="90">IF(D1729&lt;&gt;"",IF(AND(B1729&lt;&gt;"",C1729&lt;&gt;""),"","ERR"),"")</f>
        <v/>
      </c>
      <c r="F1729" s="86" t="s">
        <v>104</v>
      </c>
      <c r="G1729" s="87" t="s">
        <v>105</v>
      </c>
      <c r="H1729" s="88" t="s">
        <v>106</v>
      </c>
      <c r="I1729" s="89" t="s">
        <v>96</v>
      </c>
      <c r="J1729" s="90" t="s">
        <v>94</v>
      </c>
      <c r="K1729" s="179" t="s">
        <v>100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Accesibilidad</v>
      </c>
      <c r="C1730" s="85" t="str" cm="1">
        <f t="array" ref="C1730">IFERROR(INDEX('03.Muestra'!$F$8:$F$42,SMALL(IF("Página Web"='03.Muestra'!$D$8:$D$42,ROW('03.Muestra'!$F$8:$F$42)-MIN(ROW('03.Muestra'!$D$8:$D$42))+1,""),ROW()-1728)),"")</f>
        <v>https://www.comunidad.madrid/pjus_sede/node/35</v>
      </c>
      <c r="D1730" s="99" t="s">
        <v>106</v>
      </c>
      <c r="E1730" s="79" t="str">
        <f t="shared" si="90"/>
        <v/>
      </c>
      <c r="F1730" s="91">
        <f ca="1">COUNTIF($D1729:INDIRECT("$D" &amp;  SUM(ROW()-1,'03.Muestra'!$D$45)-1),F1729)</f>
        <v>0</v>
      </c>
      <c r="G1730" s="91">
        <f ca="1">COUNTIF($D1729:INDIRECT("$D" &amp;  SUM(ROW()-1,'03.Muestra'!$D$45)-1),G1729)</f>
        <v>0</v>
      </c>
      <c r="H1730" s="91">
        <f ca="1">COUNTIF($D1729:INDIRECT("$D" &amp;  SUM(ROW()-1,'03.Muestra'!$D$45)-1),H1729)</f>
        <v>6</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Conozca la sede</v>
      </c>
      <c r="C1731" s="85" t="str" cm="1">
        <f t="array" ref="C1731">IFERROR(INDEX('03.Muestra'!$F$8:$F$42,SMALL(IF("Página Web"='03.Muestra'!$D$8:$D$42,ROW('03.Muestra'!$F$8:$F$42)-MIN(ROW('03.Muestra'!$D$8:$D$42))+1,""),ROW()-1728)),"")</f>
        <v>https://www.comunidad.madrid/pjus_sede/conozcalasede</v>
      </c>
      <c r="D1731" s="99" t="s">
        <v>106</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Tramites y servicios</v>
      </c>
      <c r="C1732" s="85" t="str" cm="1">
        <f t="array" ref="C1732">IFERROR(INDEX('03.Muestra'!$F$8:$F$42,SMALL(IF("Página Web"='03.Muestra'!$D$8:$D$42,ROW('03.Muestra'!$F$8:$F$42)-MIN(ROW('03.Muestra'!$D$8:$D$42))+1,""),ROW()-1728)),"")</f>
        <v>https://www.comunidad.madrid/pjus_sede/tramitesyservicios</v>
      </c>
      <c r="D1732" s="99" t="s">
        <v>106</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Ayuda</v>
      </c>
      <c r="C1733" s="85" t="str" cm="1">
        <f t="array" ref="C1733">IFERROR(INDEX('03.Muestra'!$F$8:$F$42,SMALL(IF("Página Web"='03.Muestra'!$D$8:$D$42,ROW('03.Muestra'!$F$8:$F$42)-MIN(ROW('03.Muestra'!$D$8:$D$42))+1,""),ROW()-1728)),"")</f>
        <v>https://www.comunidad.madrid/pjus_sede/ayuda</v>
      </c>
      <c r="D1733" s="99" t="s">
        <v>106</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Resultados de búsqueda</v>
      </c>
      <c r="C1734" s="85" t="str" cm="1">
        <f t="array" ref="C1734">IFERROR(INDEX('03.Muestra'!$F$8:$F$42,SMALL(IF("Página Web"='03.Muestra'!$D$8:$D$42,ROW('03.Muestra'!$F$8:$F$42)-MIN(ROW('03.Muestra'!$D$8:$D$42))+1,""),ROW()-1728)),"")</f>
        <v>https://www.comunidad.madrid/pjus_sede/search/node/sugerencias</v>
      </c>
      <c r="D1734" s="99" t="s">
        <v>106</v>
      </c>
      <c r="E1734" s="79" t="str">
        <f t="shared" si="90"/>
        <v/>
      </c>
      <c r="G1734" s="18"/>
      <c r="H1734" s="18"/>
      <c r="I1734" s="18"/>
      <c r="J1734" s="18"/>
      <c r="K1734" s="184"/>
    </row>
    <row r="1735" spans="1:11" ht="12" customHeight="1">
      <c r="A1735" s="39" t="str" cm="1">
        <f t="array" ref="A1735">IFERROR(INDEX('03.Muestra'!$B$8:$B$42,SMALL(IF("Página Web"='03.Muestra'!$D$8:$D$42,ROW('03.Muestra'!$B$8:$B$42)-MIN(ROW('03.Muestra'!$D$8:$D$42))+1,""),ROW()-1728)),"")</f>
        <v/>
      </c>
      <c r="B1735" s="85" t="str" cm="1">
        <f t="array" ref="B1735">IFERROR(INDEX('03.Muestra'!$C$8:$C$42,SMALL(IF("Página Web"='03.Muestra'!$D$8:$D$42,ROW('03.Muestra'!$C$8:$C$42)-MIN(ROW('03.Muestra'!$D$8:$D$42))+1,""),ROW()-1728)),"")</f>
        <v/>
      </c>
      <c r="C1735" s="85" t="str" cm="1">
        <f t="array" ref="C1735">IFERROR(INDEX('03.Muestra'!$F$8:$F$42,SMALL(IF("Página Web"='03.Muestra'!$D$8:$D$42,ROW('03.Muestra'!$F$8:$F$42)-MIN(ROW('03.Muestra'!$D$8:$D$42))+1,""),ROW()-1728)),"")</f>
        <v/>
      </c>
      <c r="D1735" s="99" t="str">
        <f t="shared" ref="D1735:D1763" si="91">IF(AND(B1735&lt;&gt;"",C1735&lt;&gt;""),"N/T","")</f>
        <v/>
      </c>
      <c r="E1735" s="79" t="str">
        <f t="shared" si="90"/>
        <v/>
      </c>
      <c r="F1735" s="18"/>
      <c r="G1735" s="18"/>
      <c r="H1735" s="18"/>
      <c r="I1735" s="18"/>
      <c r="J1735" s="18"/>
      <c r="K1735" s="184"/>
    </row>
    <row r="1736" spans="1:11" ht="12" customHeight="1">
      <c r="A1736" s="39" t="str" cm="1">
        <f t="array" ref="A1736">IFERROR(INDEX('03.Muestra'!$B$8:$B$42,SMALL(IF("Página Web"='03.Muestra'!$D$8:$D$42,ROW('03.Muestra'!$B$8:$B$42)-MIN(ROW('03.Muestra'!$D$8:$D$42))+1,""),ROW()-1728)),"")</f>
        <v/>
      </c>
      <c r="B1736" s="85" t="str" cm="1">
        <f t="array" ref="B1736">IFERROR(INDEX('03.Muestra'!$C$8:$C$42,SMALL(IF("Página Web"='03.Muestra'!$D$8:$D$42,ROW('03.Muestra'!$C$8:$C$42)-MIN(ROW('03.Muestra'!$D$8:$D$42))+1,""),ROW()-1728)),"")</f>
        <v/>
      </c>
      <c r="C1736" s="85" t="str" cm="1">
        <f t="array" ref="C1736">IFERROR(INDEX('03.Muestra'!$F$8:$F$42,SMALL(IF("Página Web"='03.Muestra'!$D$8:$D$42,ROW('03.Muestra'!$F$8:$F$42)-MIN(ROW('03.Muestra'!$D$8:$D$42))+1,""),ROW()-1728)),"")</f>
        <v/>
      </c>
      <c r="D1736" s="99" t="str">
        <f t="shared" si="91"/>
        <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si="91"/>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101</v>
      </c>
      <c r="B1766" s="23" t="s">
        <v>93</v>
      </c>
      <c r="C1766" s="24" t="s">
        <v>190</v>
      </c>
      <c r="D1766" s="25" t="s">
        <v>103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https://www.comunidad.madrid/pjus_sede/</v>
      </c>
      <c r="D1767" s="99" t="s">
        <v>94</v>
      </c>
      <c r="E1767" s="79" t="str">
        <f t="shared" ref="E1767:E1801" si="92">IF(D1767&lt;&gt;"",IF(AND(B1767&lt;&gt;"",C1767&lt;&gt;""),"","ERR"),"")</f>
        <v/>
      </c>
      <c r="F1767" s="86" t="s">
        <v>104</v>
      </c>
      <c r="G1767" s="87" t="s">
        <v>105</v>
      </c>
      <c r="H1767" s="88" t="s">
        <v>106</v>
      </c>
      <c r="I1767" s="89" t="s">
        <v>96</v>
      </c>
      <c r="J1767" s="90" t="s">
        <v>94</v>
      </c>
      <c r="K1767" s="179" t="s">
        <v>100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Accesibilidad</v>
      </c>
      <c r="C1768" s="85" t="str" cm="1">
        <f t="array" ref="C1768">IFERROR(INDEX('03.Muestra'!$F$8:$F$42,SMALL(IF("Página Web"='03.Muestra'!$D$8:$D$42,ROW('03.Muestra'!$F$8:$F$42)-MIN(ROW('03.Muestra'!$D$8:$D$42))+1,""),ROW()-1766)),"")</f>
        <v>https://www.comunidad.madrid/pjus_sede/node/35</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6</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Conozca la sede</v>
      </c>
      <c r="C1769" s="85" t="str" cm="1">
        <f t="array" ref="C1769">IFERROR(INDEX('03.Muestra'!$F$8:$F$42,SMALL(IF("Página Web"='03.Muestra'!$D$8:$D$42,ROW('03.Muestra'!$F$8:$F$42)-MIN(ROW('03.Muestra'!$D$8:$D$42))+1,""),ROW()-1766)),"")</f>
        <v>https://www.comunidad.madrid/pjus_sede/conozcalasede</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Tramites y servicios</v>
      </c>
      <c r="C1770" s="85" t="str" cm="1">
        <f t="array" ref="C1770">IFERROR(INDEX('03.Muestra'!$F$8:$F$42,SMALL(IF("Página Web"='03.Muestra'!$D$8:$D$42,ROW('03.Muestra'!$F$8:$F$42)-MIN(ROW('03.Muestra'!$D$8:$D$42))+1,""),ROW()-1766)),"")</f>
        <v>https://www.comunidad.madrid/pjus_sede/tramitesyservicios</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Ayuda</v>
      </c>
      <c r="C1771" s="85" t="str" cm="1">
        <f t="array" ref="C1771">IFERROR(INDEX('03.Muestra'!$F$8:$F$42,SMALL(IF("Página Web"='03.Muestra'!$D$8:$D$42,ROW('03.Muestra'!$F$8:$F$42)-MIN(ROW('03.Muestra'!$D$8:$D$42))+1,""),ROW()-1766)),"")</f>
        <v>https://www.comunidad.madrid/pjus_sede/ayuda</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Resultados de búsqueda</v>
      </c>
      <c r="C1772" s="85" t="str" cm="1">
        <f t="array" ref="C1772">IFERROR(INDEX('03.Muestra'!$F$8:$F$42,SMALL(IF("Página Web"='03.Muestra'!$D$8:$D$42,ROW('03.Muestra'!$F$8:$F$42)-MIN(ROW('03.Muestra'!$D$8:$D$42))+1,""),ROW()-1766)),"")</f>
        <v>https://www.comunidad.madrid/pjus_sede/search/node/sugerencias</v>
      </c>
      <c r="D1772" s="99" t="s">
        <v>94</v>
      </c>
      <c r="E1772" s="79" t="str">
        <f t="shared" si="92"/>
        <v/>
      </c>
      <c r="F1772" s="18"/>
      <c r="G1772" s="18"/>
      <c r="H1772" s="18"/>
      <c r="I1772" s="18"/>
      <c r="J1772" s="18"/>
      <c r="K1772" s="185"/>
    </row>
    <row r="1773" spans="1:11" ht="12" customHeight="1">
      <c r="A1773" s="39" t="str" cm="1">
        <f t="array" ref="A1773">IFERROR(INDEX('03.Muestra'!$B$8:$B$42,SMALL(IF("Página Web"='03.Muestra'!$D$8:$D$42,ROW('03.Muestra'!$B$8:$B$42)-MIN(ROW('03.Muestra'!$D$8:$D$42))+1,""),ROW()-1766)),"")</f>
        <v/>
      </c>
      <c r="B1773" s="85" t="str" cm="1">
        <f t="array" ref="B1773">IFERROR(INDEX('03.Muestra'!$C$8:$C$42,SMALL(IF("Página Web"='03.Muestra'!$D$8:$D$42,ROW('03.Muestra'!$C$8:$C$42)-MIN(ROW('03.Muestra'!$D$8:$D$42))+1,""),ROW()-1766)),"")</f>
        <v/>
      </c>
      <c r="C1773" s="85" t="str" cm="1">
        <f t="array" ref="C1773">IFERROR(INDEX('03.Muestra'!$F$8:$F$42,SMALL(IF("Página Web"='03.Muestra'!$D$8:$D$42,ROW('03.Muestra'!$F$8:$F$42)-MIN(ROW('03.Muestra'!$D$8:$D$42))+1,""),ROW()-1766)),"")</f>
        <v/>
      </c>
      <c r="D1773" s="99" t="str">
        <f t="shared" ref="D1773:D1801" si="93">IF(AND(B1773&lt;&gt;"",C1773&lt;&gt;""),"N/T","")</f>
        <v/>
      </c>
      <c r="E1773" s="79" t="str">
        <f t="shared" si="92"/>
        <v/>
      </c>
      <c r="F1773" s="18"/>
      <c r="G1773" s="18"/>
      <c r="H1773" s="18"/>
      <c r="I1773" s="18"/>
      <c r="J1773" s="18"/>
      <c r="K1773" s="184"/>
    </row>
    <row r="1774" spans="1:11" ht="12" customHeight="1">
      <c r="A1774" s="39" t="str" cm="1">
        <f t="array" ref="A1774">IFERROR(INDEX('03.Muestra'!$B$8:$B$42,SMALL(IF("Página Web"='03.Muestra'!$D$8:$D$42,ROW('03.Muestra'!$B$8:$B$42)-MIN(ROW('03.Muestra'!$D$8:$D$42))+1,""),ROW()-1766)),"")</f>
        <v/>
      </c>
      <c r="B1774" s="85" t="str" cm="1">
        <f t="array" ref="B1774">IFERROR(INDEX('03.Muestra'!$C$8:$C$42,SMALL(IF("Página Web"='03.Muestra'!$D$8:$D$42,ROW('03.Muestra'!$C$8:$C$42)-MIN(ROW('03.Muestra'!$D$8:$D$42))+1,""),ROW()-1766)),"")</f>
        <v/>
      </c>
      <c r="C1774" s="85" t="str" cm="1">
        <f t="array" ref="C1774">IFERROR(INDEX('03.Muestra'!$F$8:$F$42,SMALL(IF("Página Web"='03.Muestra'!$D$8:$D$42,ROW('03.Muestra'!$F$8:$F$42)-MIN(ROW('03.Muestra'!$D$8:$D$42))+1,""),ROW()-1766)),"")</f>
        <v/>
      </c>
      <c r="D1774" s="99" t="str">
        <f t="shared" si="93"/>
        <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si="93"/>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101</v>
      </c>
      <c r="B1804" s="23" t="s">
        <v>93</v>
      </c>
      <c r="C1804" s="24" t="s">
        <v>191</v>
      </c>
      <c r="D1804" s="25" t="s">
        <v>103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https://www.comunidad.madrid/pjus_sede/</v>
      </c>
      <c r="D1805" s="99" t="s">
        <v>94</v>
      </c>
      <c r="E1805" s="79" t="str">
        <f t="shared" ref="E1805:E1839" si="94">IF(D1805&lt;&gt;"",IF(AND(B1805&lt;&gt;"",C1805&lt;&gt;""),"","ERR"),"")</f>
        <v/>
      </c>
      <c r="F1805" s="86" t="s">
        <v>104</v>
      </c>
      <c r="G1805" s="87" t="s">
        <v>105</v>
      </c>
      <c r="H1805" s="88" t="s">
        <v>106</v>
      </c>
      <c r="I1805" s="89" t="s">
        <v>96</v>
      </c>
      <c r="J1805" s="90" t="s">
        <v>94</v>
      </c>
      <c r="K1805" s="179" t="s">
        <v>100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Accesibilidad</v>
      </c>
      <c r="C1806" s="85" t="str" cm="1">
        <f t="array" ref="C1806">IFERROR(INDEX('03.Muestra'!$F$8:$F$42,SMALL(IF("Página Web"='03.Muestra'!$D$8:$D$42,ROW('03.Muestra'!$F$8:$F$42)-MIN(ROW('03.Muestra'!$D$8:$D$42))+1,""),ROW()-1804)),"")</f>
        <v>https://www.comunidad.madrid/pjus_sede/node/35</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5</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Conozca la sede</v>
      </c>
      <c r="C1807" s="85" t="str" cm="1">
        <f t="array" ref="C1807">IFERROR(INDEX('03.Muestra'!$F$8:$F$42,SMALL(IF("Página Web"='03.Muestra'!$D$8:$D$42,ROW('03.Muestra'!$F$8:$F$42)-MIN(ROW('03.Muestra'!$D$8:$D$42))+1,""),ROW()-1804)),"")</f>
        <v>https://www.comunidad.madrid/pjus_sede/conozcalasede</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Tramites y servicios</v>
      </c>
      <c r="C1808" s="85" t="str" cm="1">
        <f t="array" ref="C1808">IFERROR(INDEX('03.Muestra'!$F$8:$F$42,SMALL(IF("Página Web"='03.Muestra'!$D$8:$D$42,ROW('03.Muestra'!$F$8:$F$42)-MIN(ROW('03.Muestra'!$D$8:$D$42))+1,""),ROW()-1804)),"")</f>
        <v>https://www.comunidad.madrid/pjus_sede/tramitesyservicios</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Ayuda</v>
      </c>
      <c r="C1809" s="85" t="str" cm="1">
        <f t="array" ref="C1809">IFERROR(INDEX('03.Muestra'!$F$8:$F$42,SMALL(IF("Página Web"='03.Muestra'!$D$8:$D$42,ROW('03.Muestra'!$F$8:$F$42)-MIN(ROW('03.Muestra'!$D$8:$D$42))+1,""),ROW()-1804)),"")</f>
        <v>https://www.comunidad.madrid/pjus_sede/ayuda</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Resultados de búsqueda</v>
      </c>
      <c r="C1810" s="85" t="str" cm="1">
        <f t="array" ref="C1810">IFERROR(INDEX('03.Muestra'!$F$8:$F$42,SMALL(IF("Página Web"='03.Muestra'!$D$8:$D$42,ROW('03.Muestra'!$F$8:$F$42)-MIN(ROW('03.Muestra'!$D$8:$D$42))+1,""),ROW()-1804)),"")</f>
        <v>https://www.comunidad.madrid/pjus_sede/search/node/sugerencias</v>
      </c>
      <c r="D1810" s="99" t="s">
        <v>96</v>
      </c>
      <c r="E1810" s="79" t="str">
        <f t="shared" si="94"/>
        <v/>
      </c>
      <c r="G1810" s="18"/>
      <c r="H1810" s="18"/>
      <c r="I1810" s="18"/>
      <c r="J1810" s="18"/>
      <c r="K1810" s="184"/>
    </row>
    <row r="1811" spans="1:11" ht="12" customHeight="1">
      <c r="A1811" s="39" t="str" cm="1">
        <f t="array" ref="A1811">IFERROR(INDEX('03.Muestra'!$B$8:$B$42,SMALL(IF("Página Web"='03.Muestra'!$D$8:$D$42,ROW('03.Muestra'!$B$8:$B$42)-MIN(ROW('03.Muestra'!$D$8:$D$42))+1,""),ROW()-1804)),"")</f>
        <v/>
      </c>
      <c r="B1811" s="85" t="str" cm="1">
        <f t="array" ref="B1811">IFERROR(INDEX('03.Muestra'!$C$8:$C$42,SMALL(IF("Página Web"='03.Muestra'!$D$8:$D$42,ROW('03.Muestra'!$C$8:$C$42)-MIN(ROW('03.Muestra'!$D$8:$D$42))+1,""),ROW()-1804)),"")</f>
        <v/>
      </c>
      <c r="C1811" s="85" t="str" cm="1">
        <f t="array" ref="C1811">IFERROR(INDEX('03.Muestra'!$F$8:$F$42,SMALL(IF("Página Web"='03.Muestra'!$D$8:$D$42,ROW('03.Muestra'!$F$8:$F$42)-MIN(ROW('03.Muestra'!$D$8:$D$42))+1,""),ROW()-1804)),"")</f>
        <v/>
      </c>
      <c r="D1811" s="99" t="str">
        <f t="shared" ref="D1811:D1839" si="95">IF(AND(B1811&lt;&gt;"",C1811&lt;&gt;""),"N/T","")</f>
        <v/>
      </c>
      <c r="E1811" s="79" t="str">
        <f t="shared" si="94"/>
        <v/>
      </c>
      <c r="F1811" s="18"/>
      <c r="G1811" s="18"/>
      <c r="H1811" s="18"/>
      <c r="I1811" s="18"/>
      <c r="J1811" s="18"/>
      <c r="K1811" s="184"/>
    </row>
    <row r="1812" spans="1:11" ht="12" customHeight="1">
      <c r="A1812" s="39" t="str" cm="1">
        <f t="array" ref="A1812">IFERROR(INDEX('03.Muestra'!$B$8:$B$42,SMALL(IF("Página Web"='03.Muestra'!$D$8:$D$42,ROW('03.Muestra'!$B$8:$B$42)-MIN(ROW('03.Muestra'!$D$8:$D$42))+1,""),ROW()-1804)),"")</f>
        <v/>
      </c>
      <c r="B1812" s="85" t="str" cm="1">
        <f t="array" ref="B1812">IFERROR(INDEX('03.Muestra'!$C$8:$C$42,SMALL(IF("Página Web"='03.Muestra'!$D$8:$D$42,ROW('03.Muestra'!$C$8:$C$42)-MIN(ROW('03.Muestra'!$D$8:$D$42))+1,""),ROW()-1804)),"")</f>
        <v/>
      </c>
      <c r="C1812" s="85" t="str" cm="1">
        <f t="array" ref="C1812">IFERROR(INDEX('03.Muestra'!$F$8:$F$42,SMALL(IF("Página Web"='03.Muestra'!$D$8:$D$42,ROW('03.Muestra'!$F$8:$F$42)-MIN(ROW('03.Muestra'!$D$8:$D$42))+1,""),ROW()-1804)),"")</f>
        <v/>
      </c>
      <c r="D1812" s="99" t="str">
        <f t="shared" si="95"/>
        <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si="95"/>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101</v>
      </c>
      <c r="B1842" s="23" t="s">
        <v>93</v>
      </c>
      <c r="C1842" s="24" t="s">
        <v>192</v>
      </c>
      <c r="D1842" s="25" t="s">
        <v>103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https://www.comunidad.madrid/pjus_sede/</v>
      </c>
      <c r="D1843" s="99" t="s">
        <v>106</v>
      </c>
      <c r="E1843" s="79" t="str">
        <f t="shared" ref="E1843:E1877" si="96">IF(D1843&lt;&gt;"",IF(AND(B1843&lt;&gt;"",C1843&lt;&gt;""),"","ERR"),"")</f>
        <v/>
      </c>
      <c r="F1843" s="86" t="s">
        <v>104</v>
      </c>
      <c r="G1843" s="87" t="s">
        <v>105</v>
      </c>
      <c r="H1843" s="88" t="s">
        <v>106</v>
      </c>
      <c r="I1843" s="89" t="s">
        <v>96</v>
      </c>
      <c r="J1843" s="90" t="s">
        <v>94</v>
      </c>
      <c r="K1843" s="179" t="s">
        <v>100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Accesibilidad</v>
      </c>
      <c r="C1844" s="85" t="str" cm="1">
        <f t="array" ref="C1844">IFERROR(INDEX('03.Muestra'!$F$8:$F$42,SMALL(IF("Página Web"='03.Muestra'!$D$8:$D$42,ROW('03.Muestra'!$F$8:$F$42)-MIN(ROW('03.Muestra'!$D$8:$D$42))+1,""),ROW()-1842)),"")</f>
        <v>https://www.comunidad.madrid/pjus_sede/node/35</v>
      </c>
      <c r="D1844" s="99" t="s">
        <v>106</v>
      </c>
      <c r="E1844" s="79" t="str">
        <f t="shared" si="96"/>
        <v/>
      </c>
      <c r="F1844" s="91">
        <f ca="1">COUNTIF($D1843:INDIRECT("$D" &amp;  SUM(ROW()-1,'03.Muestra'!$D$45)-1),F1843)</f>
        <v>0</v>
      </c>
      <c r="G1844" s="91">
        <f ca="1">COUNTIF($D1843:INDIRECT("$D" &amp;  SUM(ROW()-1,'03.Muestra'!$D$45)-1),G1843)</f>
        <v>0</v>
      </c>
      <c r="H1844" s="91">
        <f ca="1">COUNTIF($D1843:INDIRECT("$D" &amp;  SUM(ROW()-1,'03.Muestra'!$D$45)-1),H1843)</f>
        <v>6</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Conozca la sede</v>
      </c>
      <c r="C1845" s="85" t="str" cm="1">
        <f t="array" ref="C1845">IFERROR(INDEX('03.Muestra'!$F$8:$F$42,SMALL(IF("Página Web"='03.Muestra'!$D$8:$D$42,ROW('03.Muestra'!$F$8:$F$42)-MIN(ROW('03.Muestra'!$D$8:$D$42))+1,""),ROW()-1842)),"")</f>
        <v>https://www.comunidad.madrid/pjus_sede/conozcalasede</v>
      </c>
      <c r="D1845" s="99" t="s">
        <v>106</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Tramites y servicios</v>
      </c>
      <c r="C1846" s="85" t="str" cm="1">
        <f t="array" ref="C1846">IFERROR(INDEX('03.Muestra'!$F$8:$F$42,SMALL(IF("Página Web"='03.Muestra'!$D$8:$D$42,ROW('03.Muestra'!$F$8:$F$42)-MIN(ROW('03.Muestra'!$D$8:$D$42))+1,""),ROW()-1842)),"")</f>
        <v>https://www.comunidad.madrid/pjus_sede/tramitesyservicios</v>
      </c>
      <c r="D1846" s="99" t="s">
        <v>106</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Ayuda</v>
      </c>
      <c r="C1847" s="85" t="str" cm="1">
        <f t="array" ref="C1847">IFERROR(INDEX('03.Muestra'!$F$8:$F$42,SMALL(IF("Página Web"='03.Muestra'!$D$8:$D$42,ROW('03.Muestra'!$F$8:$F$42)-MIN(ROW('03.Muestra'!$D$8:$D$42))+1,""),ROW()-1842)),"")</f>
        <v>https://www.comunidad.madrid/pjus_sede/ayuda</v>
      </c>
      <c r="D1847" s="99" t="s">
        <v>106</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Resultados de búsqueda</v>
      </c>
      <c r="C1848" s="85" t="str" cm="1">
        <f t="array" ref="C1848">IFERROR(INDEX('03.Muestra'!$F$8:$F$42,SMALL(IF("Página Web"='03.Muestra'!$D$8:$D$42,ROW('03.Muestra'!$F$8:$F$42)-MIN(ROW('03.Muestra'!$D$8:$D$42))+1,""),ROW()-1842)),"")</f>
        <v>https://www.comunidad.madrid/pjus_sede/search/node/sugerencias</v>
      </c>
      <c r="D1848" s="99" t="s">
        <v>106</v>
      </c>
      <c r="E1848" s="79" t="str">
        <f t="shared" si="96"/>
        <v/>
      </c>
      <c r="G1848" s="18"/>
      <c r="H1848" s="18"/>
      <c r="I1848" s="18"/>
      <c r="J1848" s="18"/>
      <c r="K1848" s="184"/>
    </row>
    <row r="1849" spans="1:11" ht="12" customHeight="1">
      <c r="A1849" s="39" t="str" cm="1">
        <f t="array" ref="A1849">IFERROR(INDEX('03.Muestra'!$B$8:$B$42,SMALL(IF("Página Web"='03.Muestra'!$D$8:$D$42,ROW('03.Muestra'!$B$8:$B$42)-MIN(ROW('03.Muestra'!$D$8:$D$42))+1,""),ROW()-1842)),"")</f>
        <v/>
      </c>
      <c r="B1849" s="85" t="str" cm="1">
        <f t="array" ref="B1849">IFERROR(INDEX('03.Muestra'!$C$8:$C$42,SMALL(IF("Página Web"='03.Muestra'!$D$8:$D$42,ROW('03.Muestra'!$C$8:$C$42)-MIN(ROW('03.Muestra'!$D$8:$D$42))+1,""),ROW()-1842)),"")</f>
        <v/>
      </c>
      <c r="C1849" s="85" t="str" cm="1">
        <f t="array" ref="C1849">IFERROR(INDEX('03.Muestra'!$F$8:$F$42,SMALL(IF("Página Web"='03.Muestra'!$D$8:$D$42,ROW('03.Muestra'!$F$8:$F$42)-MIN(ROW('03.Muestra'!$D$8:$D$42))+1,""),ROW()-1842)),"")</f>
        <v/>
      </c>
      <c r="D1849" s="99" t="str">
        <f t="shared" ref="D1849:D1877" si="97">IF(AND(B1849&lt;&gt;"",C1849&lt;&gt;""),"N/T","")</f>
        <v/>
      </c>
      <c r="E1849" s="79" t="str">
        <f t="shared" si="96"/>
        <v/>
      </c>
      <c r="F1849" s="18"/>
      <c r="G1849" s="18"/>
      <c r="H1849" s="18"/>
      <c r="I1849" s="18"/>
      <c r="J1849" s="18"/>
      <c r="K1849" s="184"/>
    </row>
    <row r="1850" spans="1:11" ht="12" customHeight="1">
      <c r="A1850" s="39" t="str" cm="1">
        <f t="array" ref="A1850">IFERROR(INDEX('03.Muestra'!$B$8:$B$42,SMALL(IF("Página Web"='03.Muestra'!$D$8:$D$42,ROW('03.Muestra'!$B$8:$B$42)-MIN(ROW('03.Muestra'!$D$8:$D$42))+1,""),ROW()-1842)),"")</f>
        <v/>
      </c>
      <c r="B1850" s="85" t="str" cm="1">
        <f t="array" ref="B1850">IFERROR(INDEX('03.Muestra'!$C$8:$C$42,SMALL(IF("Página Web"='03.Muestra'!$D$8:$D$42,ROW('03.Muestra'!$C$8:$C$42)-MIN(ROW('03.Muestra'!$D$8:$D$42))+1,""),ROW()-1842)),"")</f>
        <v/>
      </c>
      <c r="C1850" s="85" t="str" cm="1">
        <f t="array" ref="C1850">IFERROR(INDEX('03.Muestra'!$F$8:$F$42,SMALL(IF("Página Web"='03.Muestra'!$D$8:$D$42,ROW('03.Muestra'!$F$8:$F$42)-MIN(ROW('03.Muestra'!$D$8:$D$42))+1,""),ROW()-1842)),"")</f>
        <v/>
      </c>
      <c r="D1850" s="99" t="str">
        <f t="shared" si="97"/>
        <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si="97"/>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101</v>
      </c>
      <c r="B1880" s="23" t="s">
        <v>93</v>
      </c>
      <c r="C1880" s="24" t="s">
        <v>193</v>
      </c>
      <c r="D1880" s="25" t="s">
        <v>103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https://www.comunidad.madrid/pjus_sede/</v>
      </c>
      <c r="D1881" s="99" t="s">
        <v>96</v>
      </c>
      <c r="E1881" s="79" t="str">
        <f t="shared" ref="E1881:E1915" si="98">IF(D1881&lt;&gt;"",IF(AND(B1881&lt;&gt;"",C1881&lt;&gt;""),"","ERR"),"")</f>
        <v/>
      </c>
      <c r="F1881" s="86" t="s">
        <v>104</v>
      </c>
      <c r="G1881" s="87" t="s">
        <v>105</v>
      </c>
      <c r="H1881" s="88" t="s">
        <v>106</v>
      </c>
      <c r="I1881" s="89" t="s">
        <v>96</v>
      </c>
      <c r="J1881" s="90" t="s">
        <v>94</v>
      </c>
      <c r="K1881" s="179" t="s">
        <v>100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Accesibilidad</v>
      </c>
      <c r="C1882" s="85" t="str" cm="1">
        <f t="array" ref="C1882">IFERROR(INDEX('03.Muestra'!$F$8:$F$42,SMALL(IF("Página Web"='03.Muestra'!$D$8:$D$42,ROW('03.Muestra'!$F$8:$F$42)-MIN(ROW('03.Muestra'!$D$8:$D$42))+1,""),ROW()-1880)),"")</f>
        <v>https://www.comunidad.madrid/pjus_sede/node/35</v>
      </c>
      <c r="D1882" s="99" t="s">
        <v>96</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6</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Conozca la sede</v>
      </c>
      <c r="C1883" s="85" t="str" cm="1">
        <f t="array" ref="C1883">IFERROR(INDEX('03.Muestra'!$F$8:$F$42,SMALL(IF("Página Web"='03.Muestra'!$D$8:$D$42,ROW('03.Muestra'!$F$8:$F$42)-MIN(ROW('03.Muestra'!$D$8:$D$42))+1,""),ROW()-1880)),"")</f>
        <v>https://www.comunidad.madrid/pjus_sede/conozcalasede</v>
      </c>
      <c r="D1883" s="99" t="s">
        <v>96</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Tramites y servicios</v>
      </c>
      <c r="C1884" s="85" t="str" cm="1">
        <f t="array" ref="C1884">IFERROR(INDEX('03.Muestra'!$F$8:$F$42,SMALL(IF("Página Web"='03.Muestra'!$D$8:$D$42,ROW('03.Muestra'!$F$8:$F$42)-MIN(ROW('03.Muestra'!$D$8:$D$42))+1,""),ROW()-1880)),"")</f>
        <v>https://www.comunidad.madrid/pjus_sede/tramitesyservicios</v>
      </c>
      <c r="D1884" s="99" t="s">
        <v>96</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Ayuda</v>
      </c>
      <c r="C1885" s="85" t="str" cm="1">
        <f t="array" ref="C1885">IFERROR(INDEX('03.Muestra'!$F$8:$F$42,SMALL(IF("Página Web"='03.Muestra'!$D$8:$D$42,ROW('03.Muestra'!$F$8:$F$42)-MIN(ROW('03.Muestra'!$D$8:$D$42))+1,""),ROW()-1880)),"")</f>
        <v>https://www.comunidad.madrid/pjus_sede/ayuda</v>
      </c>
      <c r="D1885" s="99" t="s">
        <v>96</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Resultados de búsqueda</v>
      </c>
      <c r="C1886" s="85" t="str" cm="1">
        <f t="array" ref="C1886">IFERROR(INDEX('03.Muestra'!$F$8:$F$42,SMALL(IF("Página Web"='03.Muestra'!$D$8:$D$42,ROW('03.Muestra'!$F$8:$F$42)-MIN(ROW('03.Muestra'!$D$8:$D$42))+1,""),ROW()-1880)),"")</f>
        <v>https://www.comunidad.madrid/pjus_sede/search/node/sugerencias</v>
      </c>
      <c r="D1886" s="99" t="s">
        <v>96</v>
      </c>
      <c r="E1886" s="79" t="str">
        <f t="shared" si="98"/>
        <v/>
      </c>
      <c r="G1886" s="18"/>
      <c r="H1886" s="18"/>
      <c r="I1886" s="18"/>
      <c r="J1886" s="18"/>
      <c r="K1886" s="184"/>
    </row>
    <row r="1887" spans="1:11" ht="12" customHeight="1">
      <c r="A1887" s="39" t="str" cm="1">
        <f t="array" ref="A1887">IFERROR(INDEX('03.Muestra'!$B$8:$B$42,SMALL(IF("Página Web"='03.Muestra'!$D$8:$D$42,ROW('03.Muestra'!$B$8:$B$42)-MIN(ROW('03.Muestra'!$D$8:$D$42))+1,""),ROW()-1880)),"")</f>
        <v/>
      </c>
      <c r="B1887" s="85" t="str" cm="1">
        <f t="array" ref="B1887">IFERROR(INDEX('03.Muestra'!$C$8:$C$42,SMALL(IF("Página Web"='03.Muestra'!$D$8:$D$42,ROW('03.Muestra'!$C$8:$C$42)-MIN(ROW('03.Muestra'!$D$8:$D$42))+1,""),ROW()-1880)),"")</f>
        <v/>
      </c>
      <c r="C1887" s="85" t="str" cm="1">
        <f t="array" ref="C1887">IFERROR(INDEX('03.Muestra'!$F$8:$F$42,SMALL(IF("Página Web"='03.Muestra'!$D$8:$D$42,ROW('03.Muestra'!$F$8:$F$42)-MIN(ROW('03.Muestra'!$D$8:$D$42))+1,""),ROW()-1880)),"")</f>
        <v/>
      </c>
      <c r="D1887" s="99" t="str">
        <f t="shared" ref="D1887:D1915" si="99">IF(AND(B1887&lt;&gt;"",C1887&lt;&gt;""),"N/T","")</f>
        <v/>
      </c>
      <c r="E1887" s="79" t="str">
        <f t="shared" si="98"/>
        <v/>
      </c>
      <c r="F1887" s="18"/>
      <c r="G1887" s="18"/>
      <c r="H1887" s="18"/>
      <c r="I1887" s="18"/>
      <c r="J1887" s="18"/>
      <c r="K1887" s="184"/>
    </row>
    <row r="1888" spans="1:11" ht="12" customHeight="1">
      <c r="A1888" s="39" t="str" cm="1">
        <f t="array" ref="A1888">IFERROR(INDEX('03.Muestra'!$B$8:$B$42,SMALL(IF("Página Web"='03.Muestra'!$D$8:$D$42,ROW('03.Muestra'!$B$8:$B$42)-MIN(ROW('03.Muestra'!$D$8:$D$42))+1,""),ROW()-1880)),"")</f>
        <v/>
      </c>
      <c r="B1888" s="85" t="str" cm="1">
        <f t="array" ref="B1888">IFERROR(INDEX('03.Muestra'!$C$8:$C$42,SMALL(IF("Página Web"='03.Muestra'!$D$8:$D$42,ROW('03.Muestra'!$C$8:$C$42)-MIN(ROW('03.Muestra'!$D$8:$D$42))+1,""),ROW()-1880)),"")</f>
        <v/>
      </c>
      <c r="C1888" s="85" t="str" cm="1">
        <f t="array" ref="C1888">IFERROR(INDEX('03.Muestra'!$F$8:$F$42,SMALL(IF("Página Web"='03.Muestra'!$D$8:$D$42,ROW('03.Muestra'!$F$8:$F$42)-MIN(ROW('03.Muestra'!$D$8:$D$42))+1,""),ROW()-1880)),"")</f>
        <v/>
      </c>
      <c r="D1888" s="99" t="str">
        <f t="shared" si="99"/>
        <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si="99"/>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194</v>
      </c>
      <c r="C8" s="231"/>
      <c r="D8" s="231"/>
      <c r="E8" s="231"/>
      <c r="F8" s="231"/>
      <c r="G8" s="231"/>
      <c r="H8" s="231"/>
      <c r="I8" s="231"/>
      <c r="J8" s="231"/>
      <c r="K8" s="231"/>
      <c r="L8" s="231"/>
      <c r="M8" s="231"/>
      <c r="N8" s="18"/>
      <c r="O8" s="18"/>
    </row>
    <row r="9" spans="1:64" ht="24" customHeight="1">
      <c r="B9" s="230" t="s">
        <v>195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COUNTIF($B$18:$B$3922,B12)</f>
        <v>45</v>
      </c>
      <c r="D12" s="26"/>
      <c r="E12" s="14"/>
      <c r="F12" s="199" t="s">
        <v>94</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98</v>
      </c>
      <c r="C14" s="201">
        <f>C12+C13</f>
        <v>45</v>
      </c>
      <c r="D14" s="26"/>
      <c r="E14" s="14"/>
      <c r="F14" s="199" t="s">
        <v>99</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100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0</v>
      </c>
      <c r="H15" s="204">
        <f ca="1">SUM(H12:H14)</f>
        <v>0</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196</v>
      </c>
      <c r="D18" s="25" t="s">
        <v>103</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104</v>
      </c>
      <c r="G19" s="87" t="s">
        <v>105</v>
      </c>
      <c r="H19" s="88" t="s">
        <v>106</v>
      </c>
      <c r="I19" s="89" t="s">
        <v>96</v>
      </c>
      <c r="J19" s="90" t="s">
        <v>94</v>
      </c>
      <c r="K19" s="179" t="s">
        <v>100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104</v>
      </c>
      <c r="L22" s="92" t="s">
        <v>107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106</v>
      </c>
      <c r="L23" s="92" t="s">
        <v>108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105</v>
      </c>
      <c r="L24" s="92" t="s">
        <v>109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197</v>
      </c>
      <c r="D56" s="25" t="s">
        <v>103</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198</v>
      </c>
      <c r="D94" s="25" t="s">
        <v>103</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24" t="s">
        <v>199</v>
      </c>
      <c r="D132" s="25" t="s">
        <v>103</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24" t="s">
        <v>200</v>
      </c>
      <c r="D170" s="25" t="s">
        <v>103</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201</v>
      </c>
      <c r="D208" s="25" t="s">
        <v>103</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202</v>
      </c>
      <c r="D246" s="25" t="s">
        <v>103</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203</v>
      </c>
      <c r="D284" s="25" t="s">
        <v>103</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204</v>
      </c>
      <c r="D322" s="25" t="s">
        <v>103</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101</v>
      </c>
      <c r="B360" s="23" t="s">
        <v>93</v>
      </c>
      <c r="C360" s="24" t="s">
        <v>205</v>
      </c>
      <c r="D360" s="25" t="s">
        <v>103</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101</v>
      </c>
      <c r="B398" s="23" t="s">
        <v>93</v>
      </c>
      <c r="C398" s="24" t="s">
        <v>206</v>
      </c>
      <c r="D398" s="25" t="s">
        <v>103</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101</v>
      </c>
      <c r="B436" s="23" t="s">
        <v>93</v>
      </c>
      <c r="C436" s="24" t="s">
        <v>207</v>
      </c>
      <c r="D436" s="25" t="s">
        <v>103</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101</v>
      </c>
      <c r="B474" s="23" t="s">
        <v>93</v>
      </c>
      <c r="C474" s="24" t="s">
        <v>208</v>
      </c>
      <c r="D474" s="25" t="s">
        <v>103</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101</v>
      </c>
      <c r="B512" s="23" t="s">
        <v>93</v>
      </c>
      <c r="C512" s="24" t="s">
        <v>209</v>
      </c>
      <c r="D512" s="25" t="s">
        <v>103</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101</v>
      </c>
      <c r="B550" s="23" t="s">
        <v>93</v>
      </c>
      <c r="C550" s="24" t="s">
        <v>210</v>
      </c>
      <c r="D550" s="25" t="s">
        <v>103</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101</v>
      </c>
      <c r="B588" s="23" t="s">
        <v>93</v>
      </c>
      <c r="C588" s="24" t="s">
        <v>211</v>
      </c>
      <c r="D588" s="25" t="s">
        <v>103</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101</v>
      </c>
      <c r="B626" s="23" t="s">
        <v>93</v>
      </c>
      <c r="C626" s="24" t="s">
        <v>212</v>
      </c>
      <c r="D626" s="25" t="s">
        <v>103</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101</v>
      </c>
      <c r="B664" s="23" t="s">
        <v>93</v>
      </c>
      <c r="C664" s="24" t="s">
        <v>213</v>
      </c>
      <c r="D664" s="25" t="s">
        <v>103</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101</v>
      </c>
      <c r="B702" s="23" t="s">
        <v>93</v>
      </c>
      <c r="C702" s="24" t="s">
        <v>214</v>
      </c>
      <c r="D702" s="25" t="s">
        <v>103</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101</v>
      </c>
      <c r="B740" s="23" t="s">
        <v>93</v>
      </c>
      <c r="C740" s="24" t="s">
        <v>215</v>
      </c>
      <c r="D740" s="25" t="s">
        <v>103</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101</v>
      </c>
      <c r="B778" s="23" t="s">
        <v>93</v>
      </c>
      <c r="C778" s="24" t="s">
        <v>216</v>
      </c>
      <c r="D778" s="25" t="s">
        <v>103</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101</v>
      </c>
      <c r="B816" s="23" t="s">
        <v>93</v>
      </c>
      <c r="C816" s="24" t="s">
        <v>217</v>
      </c>
      <c r="D816" s="25" t="s">
        <v>103</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101</v>
      </c>
      <c r="B854" s="23" t="s">
        <v>93</v>
      </c>
      <c r="C854" s="24" t="s">
        <v>218</v>
      </c>
      <c r="D854" s="25" t="s">
        <v>103</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101</v>
      </c>
      <c r="B892" s="23" t="s">
        <v>93</v>
      </c>
      <c r="C892" s="24" t="s">
        <v>219</v>
      </c>
      <c r="D892" s="25" t="s">
        <v>103</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101</v>
      </c>
      <c r="B930" s="23" t="s">
        <v>93</v>
      </c>
      <c r="C930" s="24" t="s">
        <v>220</v>
      </c>
      <c r="D930" s="25" t="s">
        <v>103</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101</v>
      </c>
      <c r="B968" s="23" t="s">
        <v>93</v>
      </c>
      <c r="C968" s="24" t="s">
        <v>221</v>
      </c>
      <c r="D968" s="25" t="s">
        <v>103</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101</v>
      </c>
      <c r="B1006" s="23" t="s">
        <v>93</v>
      </c>
      <c r="C1006" s="24" t="s">
        <v>222</v>
      </c>
      <c r="D1006" s="25" t="s">
        <v>103</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101</v>
      </c>
      <c r="B1044" s="23" t="s">
        <v>93</v>
      </c>
      <c r="C1044" s="24" t="s">
        <v>223</v>
      </c>
      <c r="D1044" s="25" t="s">
        <v>103</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101</v>
      </c>
      <c r="B1082" s="23" t="s">
        <v>93</v>
      </c>
      <c r="C1082" s="24" t="s">
        <v>224</v>
      </c>
      <c r="D1082" s="25" t="s">
        <v>103</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101</v>
      </c>
      <c r="B1120" s="23" t="s">
        <v>93</v>
      </c>
      <c r="C1120" s="24" t="s">
        <v>225</v>
      </c>
      <c r="D1120" s="25" t="s">
        <v>103</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101</v>
      </c>
      <c r="B1158" s="23" t="s">
        <v>93</v>
      </c>
      <c r="C1158" s="24" t="s">
        <v>226</v>
      </c>
      <c r="D1158" s="25" t="s">
        <v>103</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101</v>
      </c>
      <c r="B1196" s="23" t="s">
        <v>93</v>
      </c>
      <c r="C1196" s="24" t="s">
        <v>227</v>
      </c>
      <c r="D1196" s="25" t="s">
        <v>103</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104</v>
      </c>
      <c r="G1197" s="87" t="s">
        <v>105</v>
      </c>
      <c r="H1197" s="88" t="s">
        <v>106</v>
      </c>
      <c r="I1197" s="89" t="s">
        <v>96</v>
      </c>
      <c r="J1197" s="90" t="s">
        <v>94</v>
      </c>
      <c r="K1197" s="179" t="s">
        <v>100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101</v>
      </c>
      <c r="B1234" s="23" t="s">
        <v>93</v>
      </c>
      <c r="C1234" s="24" t="s">
        <v>228</v>
      </c>
      <c r="D1234" s="25" t="s">
        <v>103</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104</v>
      </c>
      <c r="G1235" s="87" t="s">
        <v>105</v>
      </c>
      <c r="H1235" s="88" t="s">
        <v>106</v>
      </c>
      <c r="I1235" s="89" t="s">
        <v>96</v>
      </c>
      <c r="J1235" s="90" t="s">
        <v>94</v>
      </c>
      <c r="K1235" s="179" t="s">
        <v>100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101</v>
      </c>
      <c r="B1272" s="23" t="s">
        <v>93</v>
      </c>
      <c r="C1272" s="24" t="s">
        <v>229</v>
      </c>
      <c r="D1272" s="25" t="s">
        <v>103</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104</v>
      </c>
      <c r="G1273" s="87" t="s">
        <v>105</v>
      </c>
      <c r="H1273" s="88" t="s">
        <v>106</v>
      </c>
      <c r="I1273" s="89" t="s">
        <v>96</v>
      </c>
      <c r="J1273" s="90" t="s">
        <v>94</v>
      </c>
      <c r="K1273" s="179" t="s">
        <v>100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101</v>
      </c>
      <c r="B1310" s="23" t="s">
        <v>93</v>
      </c>
      <c r="C1310" s="24" t="s">
        <v>230</v>
      </c>
      <c r="D1310" s="25" t="s">
        <v>103</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104</v>
      </c>
      <c r="G1311" s="87" t="s">
        <v>105</v>
      </c>
      <c r="H1311" s="88" t="s">
        <v>106</v>
      </c>
      <c r="I1311" s="89" t="s">
        <v>96</v>
      </c>
      <c r="J1311" s="90" t="s">
        <v>94</v>
      </c>
      <c r="K1311" s="179" t="s">
        <v>100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101</v>
      </c>
      <c r="B1348" s="23" t="s">
        <v>93</v>
      </c>
      <c r="C1348" s="24" t="s">
        <v>231</v>
      </c>
      <c r="D1348" s="25" t="s">
        <v>103</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104</v>
      </c>
      <c r="G1349" s="87" t="s">
        <v>105</v>
      </c>
      <c r="H1349" s="88" t="s">
        <v>106</v>
      </c>
      <c r="I1349" s="89" t="s">
        <v>96</v>
      </c>
      <c r="J1349" s="90" t="s">
        <v>94</v>
      </c>
      <c r="K1349" s="179" t="s">
        <v>100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101</v>
      </c>
      <c r="B1386" s="23" t="s">
        <v>93</v>
      </c>
      <c r="C1386" s="24" t="s">
        <v>232</v>
      </c>
      <c r="D1386" s="25" t="s">
        <v>103</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104</v>
      </c>
      <c r="G1387" s="87" t="s">
        <v>105</v>
      </c>
      <c r="H1387" s="88" t="s">
        <v>106</v>
      </c>
      <c r="I1387" s="89" t="s">
        <v>96</v>
      </c>
      <c r="J1387" s="90" t="s">
        <v>94</v>
      </c>
      <c r="K1387" s="179" t="s">
        <v>100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101</v>
      </c>
      <c r="B1424" s="23" t="s">
        <v>93</v>
      </c>
      <c r="C1424" s="24" t="s">
        <v>233</v>
      </c>
      <c r="D1424" s="25" t="s">
        <v>103</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104</v>
      </c>
      <c r="G1425" s="87" t="s">
        <v>105</v>
      </c>
      <c r="H1425" s="88" t="s">
        <v>106</v>
      </c>
      <c r="I1425" s="89" t="s">
        <v>96</v>
      </c>
      <c r="J1425" s="90" t="s">
        <v>94</v>
      </c>
      <c r="K1425" s="179" t="s">
        <v>100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101</v>
      </c>
      <c r="B1462" s="23" t="s">
        <v>93</v>
      </c>
      <c r="C1462" s="24" t="s">
        <v>234</v>
      </c>
      <c r="D1462" s="25" t="s">
        <v>103</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104</v>
      </c>
      <c r="G1463" s="87" t="s">
        <v>105</v>
      </c>
      <c r="H1463" s="88" t="s">
        <v>106</v>
      </c>
      <c r="I1463" s="89" t="s">
        <v>96</v>
      </c>
      <c r="J1463" s="90" t="s">
        <v>94</v>
      </c>
      <c r="K1463" s="179" t="s">
        <v>100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101</v>
      </c>
      <c r="B1500" s="23" t="s">
        <v>93</v>
      </c>
      <c r="C1500" s="24" t="s">
        <v>235</v>
      </c>
      <c r="D1500" s="25" t="s">
        <v>103</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104</v>
      </c>
      <c r="G1501" s="87" t="s">
        <v>105</v>
      </c>
      <c r="H1501" s="88" t="s">
        <v>106</v>
      </c>
      <c r="I1501" s="89" t="s">
        <v>96</v>
      </c>
      <c r="J1501" s="90" t="s">
        <v>94</v>
      </c>
      <c r="K1501" s="179" t="s">
        <v>100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101</v>
      </c>
      <c r="B1538" s="23" t="s">
        <v>93</v>
      </c>
      <c r="C1538" s="24" t="s">
        <v>236</v>
      </c>
      <c r="D1538" s="25" t="s">
        <v>103</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104</v>
      </c>
      <c r="G1539" s="87" t="s">
        <v>105</v>
      </c>
      <c r="H1539" s="88" t="s">
        <v>106</v>
      </c>
      <c r="I1539" s="89" t="s">
        <v>96</v>
      </c>
      <c r="J1539" s="90" t="s">
        <v>94</v>
      </c>
      <c r="K1539" s="179" t="s">
        <v>100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101</v>
      </c>
      <c r="B1576" s="23" t="s">
        <v>93</v>
      </c>
      <c r="C1576" s="24" t="s">
        <v>237</v>
      </c>
      <c r="D1576" s="25" t="s">
        <v>103</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104</v>
      </c>
      <c r="G1577" s="87" t="s">
        <v>105</v>
      </c>
      <c r="H1577" s="88" t="s">
        <v>106</v>
      </c>
      <c r="I1577" s="89" t="s">
        <v>96</v>
      </c>
      <c r="J1577" s="90" t="s">
        <v>94</v>
      </c>
      <c r="K1577" s="179" t="s">
        <v>100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101</v>
      </c>
      <c r="B1614" s="23" t="s">
        <v>93</v>
      </c>
      <c r="C1614" s="24" t="s">
        <v>238</v>
      </c>
      <c r="D1614" s="25" t="s">
        <v>103</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104</v>
      </c>
      <c r="G1615" s="87" t="s">
        <v>105</v>
      </c>
      <c r="H1615" s="88" t="s">
        <v>106</v>
      </c>
      <c r="I1615" s="89" t="s">
        <v>96</v>
      </c>
      <c r="J1615" s="90" t="s">
        <v>94</v>
      </c>
      <c r="K1615" s="179" t="s">
        <v>100</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101</v>
      </c>
      <c r="B1652" s="23" t="s">
        <v>93</v>
      </c>
      <c r="C1652" s="24" t="s">
        <v>239</v>
      </c>
      <c r="D1652" s="25" t="s">
        <v>103</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104</v>
      </c>
      <c r="G1653" s="87" t="s">
        <v>105</v>
      </c>
      <c r="H1653" s="88" t="s">
        <v>106</v>
      </c>
      <c r="I1653" s="89" t="s">
        <v>96</v>
      </c>
      <c r="J1653" s="90" t="s">
        <v>94</v>
      </c>
      <c r="K1653" s="179" t="s">
        <v>100</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101</v>
      </c>
      <c r="B1690" s="23" t="s">
        <v>93</v>
      </c>
      <c r="C1690" s="24" t="s">
        <v>240</v>
      </c>
      <c r="D1690" s="25" t="s">
        <v>103</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104</v>
      </c>
      <c r="G1691" s="87" t="s">
        <v>105</v>
      </c>
      <c r="H1691" s="88" t="s">
        <v>106</v>
      </c>
      <c r="I1691" s="89" t="s">
        <v>96</v>
      </c>
      <c r="J1691" s="90" t="s">
        <v>94</v>
      </c>
      <c r="K1691" s="179" t="s">
        <v>100</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Oscar Hernangomez Garcia</cp:lastModifiedBy>
  <cp:revision>109</cp:revision>
  <dcterms:created xsi:type="dcterms:W3CDTF">2020-03-26T13:14:48Z</dcterms:created>
  <dcterms:modified xsi:type="dcterms:W3CDTF">2023-10-03T15:00:50Z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